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CONTRACTOR'S FORMS_RATES\RATE SHEETS\"/>
    </mc:Choice>
  </mc:AlternateContent>
  <xr:revisionPtr revIDLastSave="0" documentId="13_ncr:1_{E845EFF9-1132-465B-A30A-87D19764679D}" xr6:coauthVersionLast="47" xr6:coauthVersionMax="47" xr10:uidLastSave="{00000000-0000-0000-0000-000000000000}"/>
  <bookViews>
    <workbookView xWindow="4530" yWindow="465" windowWidth="21495" windowHeight="14730" xr2:uid="{5F8D4BEC-F37D-4535-B671-477CE52710F9}"/>
  </bookViews>
  <sheets>
    <sheet name="NIAG_2025-2026" sheetId="1" r:id="rId1"/>
    <sheet name="WNY_2025-2026" sheetId="2" r:id="rId2"/>
    <sheet name="NIAG Ind_2025-2026" sheetId="3" r:id="rId3"/>
    <sheet name="WNY Ind_2025-2026" sheetId="4" r:id="rId4"/>
    <sheet name="Monroe Ind_2025-2026" sheetId="5" r:id="rId5"/>
  </sheets>
  <definedNames>
    <definedName name="_xlnm.Print_Area" localSheetId="4">'Monroe Ind_2025-2026'!$A$1:$J$55</definedName>
    <definedName name="_xlnm.Print_Area" localSheetId="0">'NIAG_2025-2026'!$A$1:$I$56</definedName>
    <definedName name="_xlnm.Print_Area" localSheetId="3">'WNY Ind_2025-2026'!$A$1:$J$55</definedName>
    <definedName name="_xlnm.Print_Area" localSheetId="1">'WNY_2025-2026'!$A$1:$J$56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22" i="5" l="1"/>
  <c r="G18" i="5"/>
  <c r="G17" i="5"/>
  <c r="G15" i="5"/>
  <c r="G16" i="5" s="1"/>
  <c r="G14" i="5"/>
  <c r="G13" i="5"/>
  <c r="C44" i="4"/>
  <c r="C43" i="4"/>
  <c r="C42" i="4"/>
  <c r="C41" i="4"/>
  <c r="C40" i="4"/>
  <c r="K55" i="4"/>
  <c r="J55" i="4"/>
  <c r="L55" i="4" s="1"/>
  <c r="H55" i="4"/>
  <c r="G55" i="4"/>
  <c r="D55" i="4"/>
  <c r="C55" i="4"/>
  <c r="H54" i="4"/>
  <c r="G54" i="4"/>
  <c r="D54" i="4"/>
  <c r="K54" i="4" s="1"/>
  <c r="C54" i="4"/>
  <c r="J54" i="4" s="1"/>
  <c r="L54" i="4" s="1"/>
  <c r="H53" i="4"/>
  <c r="G53" i="4"/>
  <c r="D53" i="4"/>
  <c r="K53" i="4" s="1"/>
  <c r="C53" i="4"/>
  <c r="J53" i="4" s="1"/>
  <c r="L53" i="4" s="1"/>
  <c r="H52" i="4"/>
  <c r="G52" i="4"/>
  <c r="D52" i="4"/>
  <c r="K52" i="4" s="1"/>
  <c r="C52" i="4"/>
  <c r="J52" i="4" s="1"/>
  <c r="L52" i="4" s="1"/>
  <c r="K51" i="4"/>
  <c r="J51" i="4"/>
  <c r="L51" i="4" s="1"/>
  <c r="D51" i="4"/>
  <c r="C51" i="4"/>
  <c r="D50" i="4"/>
  <c r="K50" i="4" s="1"/>
  <c r="C50" i="4"/>
  <c r="J50" i="4" s="1"/>
  <c r="L50" i="4" s="1"/>
  <c r="I12" i="4"/>
  <c r="G18" i="4"/>
  <c r="G12" i="4"/>
  <c r="G17" i="4" s="1"/>
  <c r="D18" i="4"/>
  <c r="D17" i="4"/>
  <c r="D15" i="4"/>
  <c r="D16" i="4" s="1"/>
  <c r="D14" i="4"/>
  <c r="D13" i="4"/>
  <c r="C44" i="3"/>
  <c r="C43" i="3"/>
  <c r="H43" i="3" s="1"/>
  <c r="C42" i="3"/>
  <c r="C41" i="3"/>
  <c r="C40" i="3"/>
  <c r="C39" i="3"/>
  <c r="G55" i="3"/>
  <c r="F55" i="3"/>
  <c r="D55" i="3"/>
  <c r="C55" i="3"/>
  <c r="H55" i="3" s="1"/>
  <c r="M55" i="3" s="1"/>
  <c r="G54" i="3"/>
  <c r="F54" i="3"/>
  <c r="D54" i="3"/>
  <c r="C54" i="3"/>
  <c r="H54" i="3" s="1"/>
  <c r="M54" i="3" s="1"/>
  <c r="G53" i="3"/>
  <c r="F53" i="3"/>
  <c r="D53" i="3"/>
  <c r="C53" i="3"/>
  <c r="H53" i="3" s="1"/>
  <c r="M53" i="3" s="1"/>
  <c r="G52" i="3"/>
  <c r="F52" i="3"/>
  <c r="D52" i="3"/>
  <c r="C52" i="3"/>
  <c r="H52" i="3" s="1"/>
  <c r="M52" i="3" s="1"/>
  <c r="H51" i="3"/>
  <c r="M51" i="3" s="1"/>
  <c r="D51" i="3"/>
  <c r="C51" i="3"/>
  <c r="D50" i="3"/>
  <c r="C50" i="3"/>
  <c r="H50" i="3" s="1"/>
  <c r="M50" i="3" s="1"/>
  <c r="F12" i="3"/>
  <c r="F18" i="3" s="1"/>
  <c r="D18" i="3"/>
  <c r="D12" i="3"/>
  <c r="D17" i="3" s="1"/>
  <c r="F18" i="1"/>
  <c r="F14" i="1"/>
  <c r="F12" i="1"/>
  <c r="F17" i="1" s="1"/>
  <c r="D18" i="1"/>
  <c r="D12" i="1"/>
  <c r="D17" i="1" s="1"/>
  <c r="H13" i="3"/>
  <c r="F22" i="1"/>
  <c r="D22" i="1"/>
  <c r="L25" i="2"/>
  <c r="C45" i="2"/>
  <c r="C44" i="2"/>
  <c r="C43" i="2"/>
  <c r="C42" i="2"/>
  <c r="C41" i="2"/>
  <c r="C40" i="2"/>
  <c r="I26" i="2"/>
  <c r="I17" i="2"/>
  <c r="I13" i="2"/>
  <c r="I18" i="2"/>
  <c r="I12" i="2"/>
  <c r="I41" i="1"/>
  <c r="I42" i="1"/>
  <c r="I43" i="1"/>
  <c r="I44" i="1"/>
  <c r="I45" i="1"/>
  <c r="I40" i="1"/>
  <c r="C51" i="1"/>
  <c r="C45" i="1"/>
  <c r="C44" i="1"/>
  <c r="C43" i="1"/>
  <c r="C42" i="1"/>
  <c r="C41" i="1"/>
  <c r="C40" i="1"/>
  <c r="H26" i="1"/>
  <c r="I26" i="1"/>
  <c r="H12" i="1"/>
  <c r="H56" i="1"/>
  <c r="M56" i="1" s="1"/>
  <c r="G56" i="1"/>
  <c r="F56" i="1"/>
  <c r="D56" i="1"/>
  <c r="C56" i="1"/>
  <c r="G55" i="1"/>
  <c r="F55" i="1"/>
  <c r="D55" i="1"/>
  <c r="C55" i="1"/>
  <c r="H55" i="1" s="1"/>
  <c r="M55" i="1" s="1"/>
  <c r="G54" i="1"/>
  <c r="F54" i="1"/>
  <c r="D54" i="1"/>
  <c r="C54" i="1"/>
  <c r="H54" i="1" s="1"/>
  <c r="M54" i="1" s="1"/>
  <c r="G53" i="1"/>
  <c r="F53" i="1"/>
  <c r="D53" i="1"/>
  <c r="C53" i="1"/>
  <c r="H53" i="1" s="1"/>
  <c r="M53" i="1" s="1"/>
  <c r="D52" i="1"/>
  <c r="C52" i="1"/>
  <c r="H52" i="1" s="1"/>
  <c r="M52" i="1" s="1"/>
  <c r="D51" i="1"/>
  <c r="H51" i="1"/>
  <c r="M51" i="1" s="1"/>
  <c r="H56" i="2"/>
  <c r="G56" i="2"/>
  <c r="D56" i="2"/>
  <c r="C56" i="2"/>
  <c r="I56" i="2" s="1"/>
  <c r="L56" i="2" s="1"/>
  <c r="H55" i="2"/>
  <c r="G55" i="2"/>
  <c r="D55" i="2"/>
  <c r="C55" i="2"/>
  <c r="I55" i="2" s="1"/>
  <c r="L55" i="2" s="1"/>
  <c r="H54" i="2"/>
  <c r="G54" i="2"/>
  <c r="D54" i="2"/>
  <c r="C54" i="2"/>
  <c r="I54" i="2" s="1"/>
  <c r="L54" i="2" s="1"/>
  <c r="H53" i="2"/>
  <c r="G53" i="2"/>
  <c r="D53" i="2"/>
  <c r="C53" i="2"/>
  <c r="I53" i="2" s="1"/>
  <c r="L53" i="2" s="1"/>
  <c r="D52" i="2"/>
  <c r="C52" i="2"/>
  <c r="I52" i="2" s="1"/>
  <c r="L52" i="2" s="1"/>
  <c r="D51" i="2"/>
  <c r="C51" i="2"/>
  <c r="I51" i="2" s="1"/>
  <c r="L51" i="2" s="1"/>
  <c r="G22" i="2"/>
  <c r="G21" i="2"/>
  <c r="G18" i="2"/>
  <c r="G17" i="2"/>
  <c r="G15" i="2"/>
  <c r="G16" i="2" s="1"/>
  <c r="G14" i="2"/>
  <c r="G13" i="2"/>
  <c r="D22" i="2"/>
  <c r="D21" i="2"/>
  <c r="D18" i="2"/>
  <c r="D17" i="2"/>
  <c r="D15" i="2"/>
  <c r="D16" i="2" s="1"/>
  <c r="D14" i="2"/>
  <c r="D13" i="2"/>
  <c r="L27" i="5"/>
  <c r="H42" i="5"/>
  <c r="H41" i="5"/>
  <c r="K41" i="5" s="1"/>
  <c r="G42" i="5"/>
  <c r="G41" i="5"/>
  <c r="D42" i="5"/>
  <c r="D41" i="5"/>
  <c r="D40" i="5"/>
  <c r="D39" i="5"/>
  <c r="K39" i="5" s="1"/>
  <c r="C42" i="5"/>
  <c r="C41" i="5"/>
  <c r="C40" i="5"/>
  <c r="J40" i="5" s="1"/>
  <c r="L40" i="5" s="1"/>
  <c r="C39" i="5"/>
  <c r="I18" i="4"/>
  <c r="I17" i="4"/>
  <c r="I13" i="4"/>
  <c r="H18" i="1"/>
  <c r="L26" i="4"/>
  <c r="H40" i="3"/>
  <c r="M40" i="3" s="1"/>
  <c r="H26" i="3"/>
  <c r="H15" i="1"/>
  <c r="H55" i="5"/>
  <c r="G55" i="5"/>
  <c r="D55" i="5"/>
  <c r="K55" i="5" s="1"/>
  <c r="C55" i="5"/>
  <c r="J55" i="5" s="1"/>
  <c r="L55" i="5" s="1"/>
  <c r="K54" i="5"/>
  <c r="H54" i="5"/>
  <c r="G54" i="5"/>
  <c r="D54" i="5"/>
  <c r="C54" i="5"/>
  <c r="J54" i="5" s="1"/>
  <c r="L54" i="5" s="1"/>
  <c r="K53" i="5"/>
  <c r="J53" i="5"/>
  <c r="L53" i="5" s="1"/>
  <c r="H53" i="5"/>
  <c r="G53" i="5"/>
  <c r="D53" i="5"/>
  <c r="C53" i="5"/>
  <c r="J52" i="5"/>
  <c r="L52" i="5" s="1"/>
  <c r="H52" i="5"/>
  <c r="G52" i="5"/>
  <c r="D52" i="5"/>
  <c r="K52" i="5" s="1"/>
  <c r="C52" i="5"/>
  <c r="D51" i="5"/>
  <c r="K51" i="5" s="1"/>
  <c r="C51" i="5"/>
  <c r="J51" i="5" s="1"/>
  <c r="L51" i="5" s="1"/>
  <c r="D50" i="5"/>
  <c r="K50" i="5" s="1"/>
  <c r="C50" i="5"/>
  <c r="J50" i="5" s="1"/>
  <c r="L50" i="5" s="1"/>
  <c r="F29" i="5"/>
  <c r="F22" i="5"/>
  <c r="F18" i="5"/>
  <c r="F17" i="5"/>
  <c r="F15" i="5"/>
  <c r="F16" i="5" s="1"/>
  <c r="F14" i="5"/>
  <c r="F13" i="5"/>
  <c r="G29" i="4"/>
  <c r="D29" i="4"/>
  <c r="G22" i="4"/>
  <c r="D22" i="4"/>
  <c r="F30" i="3"/>
  <c r="F26" i="3"/>
  <c r="D30" i="3"/>
  <c r="D26" i="3"/>
  <c r="F22" i="3"/>
  <c r="D22" i="3"/>
  <c r="G30" i="2"/>
  <c r="D30" i="2"/>
  <c r="F26" i="1"/>
  <c r="D26" i="1"/>
  <c r="J41" i="5"/>
  <c r="L41" i="5" s="1"/>
  <c r="K40" i="5"/>
  <c r="I29" i="5"/>
  <c r="F30" i="1"/>
  <c r="D30" i="1"/>
  <c r="J44" i="4"/>
  <c r="L44" i="4" s="1"/>
  <c r="C39" i="4"/>
  <c r="J39" i="4" s="1"/>
  <c r="L39" i="4" s="1"/>
  <c r="I15" i="4"/>
  <c r="I16" i="4" s="1"/>
  <c r="I14" i="4"/>
  <c r="H41" i="1"/>
  <c r="H30" i="1"/>
  <c r="I29" i="4"/>
  <c r="H30" i="3"/>
  <c r="I30" i="2"/>
  <c r="H44" i="4"/>
  <c r="H43" i="4"/>
  <c r="H42" i="4"/>
  <c r="H41" i="4"/>
  <c r="G44" i="3"/>
  <c r="G43" i="3"/>
  <c r="G42" i="3"/>
  <c r="G41" i="3"/>
  <c r="H45" i="2"/>
  <c r="H44" i="2"/>
  <c r="H43" i="2"/>
  <c r="H42" i="2"/>
  <c r="G45" i="1"/>
  <c r="G44" i="1"/>
  <c r="G43" i="1"/>
  <c r="G42" i="1"/>
  <c r="F44" i="3"/>
  <c r="D44" i="3"/>
  <c r="F43" i="3"/>
  <c r="D43" i="3"/>
  <c r="F42" i="3"/>
  <c r="D42" i="3"/>
  <c r="F41" i="3"/>
  <c r="D41" i="3"/>
  <c r="D40" i="3"/>
  <c r="D39" i="3"/>
  <c r="G44" i="4"/>
  <c r="D44" i="4"/>
  <c r="K44" i="4" s="1"/>
  <c r="G43" i="4"/>
  <c r="D43" i="4"/>
  <c r="G42" i="4"/>
  <c r="D42" i="4"/>
  <c r="G41" i="4"/>
  <c r="D41" i="4"/>
  <c r="D40" i="4"/>
  <c r="D39" i="4"/>
  <c r="G45" i="2"/>
  <c r="D45" i="2"/>
  <c r="G44" i="2"/>
  <c r="D44" i="2"/>
  <c r="G43" i="2"/>
  <c r="D43" i="2"/>
  <c r="G42" i="2"/>
  <c r="D42" i="2"/>
  <c r="D41" i="2"/>
  <c r="D40" i="2"/>
  <c r="I21" i="2"/>
  <c r="F45" i="1"/>
  <c r="D45" i="1"/>
  <c r="F44" i="1"/>
  <c r="D44" i="1"/>
  <c r="F43" i="1"/>
  <c r="D43" i="1"/>
  <c r="F42" i="1"/>
  <c r="D42" i="1"/>
  <c r="D41" i="1"/>
  <c r="D40" i="1"/>
  <c r="G13" i="4" l="1"/>
  <c r="G14" i="4"/>
  <c r="G15" i="4"/>
  <c r="G16" i="4" s="1"/>
  <c r="F15" i="3"/>
  <c r="F16" i="3" s="1"/>
  <c r="F13" i="3"/>
  <c r="F14" i="3"/>
  <c r="F17" i="3"/>
  <c r="D13" i="3"/>
  <c r="D14" i="3"/>
  <c r="D15" i="3"/>
  <c r="D16" i="3" s="1"/>
  <c r="F15" i="1"/>
  <c r="F16" i="1" s="1"/>
  <c r="F13" i="1"/>
  <c r="D13" i="1"/>
  <c r="D14" i="1"/>
  <c r="D15" i="1"/>
  <c r="D16" i="1" s="1"/>
  <c r="H17" i="3"/>
  <c r="K26" i="3"/>
  <c r="H18" i="3"/>
  <c r="H14" i="3"/>
  <c r="H15" i="3"/>
  <c r="H16" i="3" s="1"/>
  <c r="I14" i="2"/>
  <c r="I15" i="2"/>
  <c r="I16" i="2" s="1"/>
  <c r="K51" i="2"/>
  <c r="K54" i="2"/>
  <c r="K55" i="2"/>
  <c r="K53" i="2"/>
  <c r="K52" i="2"/>
  <c r="K56" i="2"/>
  <c r="J42" i="5"/>
  <c r="L42" i="5" s="1"/>
  <c r="J39" i="5"/>
  <c r="L39" i="5" s="1"/>
  <c r="H39" i="3"/>
  <c r="M39" i="3" s="1"/>
  <c r="K42" i="5"/>
  <c r="H44" i="3"/>
  <c r="M44" i="3" s="1"/>
  <c r="H41" i="3"/>
  <c r="M41" i="3" s="1"/>
  <c r="H40" i="1"/>
  <c r="H14" i="1"/>
  <c r="J43" i="4"/>
  <c r="L43" i="4" s="1"/>
  <c r="J42" i="4"/>
  <c r="L42" i="4" s="1"/>
  <c r="J41" i="4"/>
  <c r="L41" i="4" s="1"/>
  <c r="J40" i="4"/>
  <c r="L40" i="4" s="1"/>
  <c r="H42" i="3"/>
  <c r="M42" i="3" s="1"/>
  <c r="K42" i="4"/>
  <c r="M43" i="3"/>
  <c r="K39" i="4"/>
  <c r="K40" i="4"/>
  <c r="K43" i="4"/>
  <c r="K41" i="4"/>
  <c r="I45" i="2" l="1"/>
  <c r="I44" i="2"/>
  <c r="I43" i="2"/>
  <c r="I42" i="2"/>
  <c r="H45" i="1"/>
  <c r="H44" i="1"/>
  <c r="H43" i="1"/>
  <c r="H42" i="1"/>
  <c r="I22" i="4" l="1"/>
  <c r="H22" i="3"/>
  <c r="L42" i="2"/>
  <c r="I41" i="2"/>
  <c r="L41" i="2" s="1"/>
  <c r="I40" i="2"/>
  <c r="L40" i="2" s="1"/>
  <c r="I22" i="2"/>
  <c r="M45" i="1"/>
  <c r="M44" i="1"/>
  <c r="M43" i="1"/>
  <c r="M42" i="1"/>
  <c r="M41" i="1"/>
  <c r="M40" i="1"/>
  <c r="H22" i="1"/>
  <c r="H17" i="1"/>
  <c r="H16" i="1"/>
  <c r="L44" i="2" l="1"/>
  <c r="K44" i="2"/>
  <c r="L45" i="2"/>
  <c r="K45" i="2"/>
  <c r="K42" i="2"/>
  <c r="K43" i="2"/>
  <c r="L43" i="2"/>
  <c r="K40" i="2"/>
  <c r="K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B40" authorId="0" shapeId="0" xr:uid="{C0AFC274-4211-4B1E-A981-A88DC51C56FA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App wages determined by J Logan app trustee
</t>
        </r>
      </text>
    </comment>
    <comment ref="I45" authorId="0" shapeId="0" xr:uid="{17AAE1FA-EAC6-4271-9457-7612E06ADBCC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Locurto. App trng increase to tier 3-6 @
2.5, 3, 3.5, &amp; 4%</t>
        </r>
      </text>
    </comment>
    <comment ref="B51" authorId="0" shapeId="0" xr:uid="{E462F1FE-7ADC-49C0-A2E0-078857E8F883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App wages determined by J Logan app trustee
</t>
        </r>
      </text>
    </comment>
    <comment ref="I56" authorId="0" shapeId="0" xr:uid="{F510AD45-ADFF-45C6-9AA1-0F4E304C1445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Locurto. App trng increase to tier 3-6 @
2.5, 3, 3.5, &amp; 4%</t>
        </r>
      </text>
    </comment>
    <comment ref="B70" authorId="0" shapeId="0" xr:uid="{E645C89C-CC58-404F-AA4D-8ADD33E57DB2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added raise at book rates to H&amp;W and Pension
w/lower CIEA, BIEA,Pens, and Apprent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J17" authorId="0" shapeId="0" xr:uid="{EB28DA95-9642-4513-9E8E-E2ED70A66CFC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BM .25 more than gen foreman
BA .25 more than foreman
</t>
        </r>
      </text>
    </comment>
    <comment ref="M43" authorId="0" shapeId="0" xr:uid="{C6A2F7B7-E442-406C-A6BA-5D2460B85105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  <comment ref="M54" authorId="0" shapeId="0" xr:uid="{1ACA2B77-3B38-4E59-B6FD-1DAEADEA597E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B39" authorId="0" shapeId="0" xr:uid="{8A997023-3859-44F8-BD64-462730161123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App wages determined by J Logan app trustee
</t>
        </r>
      </text>
    </comment>
    <comment ref="I44" authorId="0" shapeId="0" xr:uid="{BAF141AB-B0F5-4ED5-8C2C-7913445EEFB2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Locurto. App trng increase to tier 3-6 @
2.5, 3, 3.5, &amp; 4%</t>
        </r>
      </text>
    </comment>
    <comment ref="B50" authorId="0" shapeId="0" xr:uid="{86DF3DB7-3BF3-4547-9F4C-D8174AC5EB86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App wages determined by J Logan app trustee
</t>
        </r>
      </text>
    </comment>
    <comment ref="I55" authorId="0" shapeId="0" xr:uid="{04CBDFE8-BFB9-4271-9543-9BB562016EB0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Locurto. App trng increase to tier 3-6 @
2.5, 3, 3.5, &amp; 4%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M42" authorId="0" shapeId="0" xr:uid="{F436B380-F985-4F61-B661-53A0F7BA4C9C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  <comment ref="M53" authorId="0" shapeId="0" xr:uid="{DC94D6F5-E27B-4293-888B-457E8FD67360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M42" authorId="0" shapeId="0" xr:uid="{E351AB29-060C-4A20-B966-4473FAA980E9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  <comment ref="M53" authorId="0" shapeId="0" xr:uid="{0C3EF567-C425-4607-873B-B55C1BA0E9AE}">
      <text>
        <r>
          <rPr>
            <b/>
            <sz val="9"/>
            <color indexed="81"/>
            <rFont val="Tahoma"/>
            <family val="2"/>
          </rPr>
          <t>Karen:</t>
        </r>
        <r>
          <rPr>
            <sz val="9"/>
            <color indexed="81"/>
            <rFont val="Tahoma"/>
            <family val="2"/>
          </rPr>
          <t xml:space="preserve">
Per C Locurto App trng increase to tiers 3-6 @ 2.5, 3, 3.5, &amp; 4%.
</t>
        </r>
      </text>
    </comment>
  </commentList>
</comments>
</file>

<file path=xl/sharedStrings.xml><?xml version="1.0" encoding="utf-8"?>
<sst xmlns="http://schemas.openxmlformats.org/spreadsheetml/2006/main" count="328" uniqueCount="69">
  <si>
    <t>CEMENT MASONS LOCAL #111</t>
  </si>
  <si>
    <t>OP&amp;CMIA AFL-CIO</t>
  </si>
  <si>
    <t>111 WALES AVENUE, TONAWANDA  NY  14150</t>
  </si>
  <si>
    <t>PHONE: (716) 695-1494</t>
  </si>
  <si>
    <t>NIAGARA COUNTY ONLY</t>
  </si>
  <si>
    <t>BUILDING &amp; HEAVY HIGHWAY</t>
  </si>
  <si>
    <t>BASE RATE PER HOUR:</t>
  </si>
  <si>
    <t>CEMENT FINISHER</t>
  </si>
  <si>
    <t>FOREMAN</t>
  </si>
  <si>
    <t>SWING SCAFFOLD</t>
  </si>
  <si>
    <t>EXT SCAFFOLD</t>
  </si>
  <si>
    <t>FOREMAN OVER SAME</t>
  </si>
  <si>
    <t>GENERAL FOREMAN</t>
  </si>
  <si>
    <t>HAZARDOUS PAY</t>
  </si>
  <si>
    <t>SUPPLEMENTAL BENEFITS:</t>
  </si>
  <si>
    <t>SECURITY BENEFIT FUND</t>
  </si>
  <si>
    <t>PENSION</t>
  </si>
  <si>
    <t xml:space="preserve">NOTE: </t>
  </si>
  <si>
    <t>ALL BENEFITS &amp; HOURLY DUES ARE TO BE PAID ON TOTAL HOURS PAID BASIS</t>
  </si>
  <si>
    <t>DEDUCTION FROM RATE:</t>
  </si>
  <si>
    <t>DUES CHECK OFF</t>
  </si>
  <si>
    <t>4.5% of Total Package</t>
  </si>
  <si>
    <t>BIEA</t>
  </si>
  <si>
    <t>BUILDING APPROPRIATION *</t>
  </si>
  <si>
    <t>* not included in total package</t>
  </si>
  <si>
    <t>LISTED SUPPLEMENTS APPLY TO ALL CLASSIFICATIONS</t>
  </si>
  <si>
    <t>OVERTIME:  TIME AND ONE HALF THE REGULAR RATE</t>
  </si>
  <si>
    <t>HEALTH &amp;</t>
  </si>
  <si>
    <t>APPRENTICE</t>
  </si>
  <si>
    <t>WAGES</t>
  </si>
  <si>
    <t>WELFARE</t>
  </si>
  <si>
    <t>TRAINING</t>
  </si>
  <si>
    <t>TOTAL</t>
  </si>
  <si>
    <t>1ST 750</t>
  </si>
  <si>
    <t>2ND 750</t>
  </si>
  <si>
    <t>3RD 750</t>
  </si>
  <si>
    <t>4TH 750</t>
  </si>
  <si>
    <t>5TH 750</t>
  </si>
  <si>
    <t>6TH 750</t>
  </si>
  <si>
    <t>FAX:  (716) 695-6249</t>
  </si>
  <si>
    <t>WESTERN NEW YORK</t>
  </si>
  <si>
    <t>(excludes Niagara County)</t>
  </si>
  <si>
    <t>CIEA</t>
  </si>
  <si>
    <t>BUILDING APPROPRIATION*</t>
  </si>
  <si>
    <t>* not included inTotal Package</t>
  </si>
  <si>
    <t>MARKET RECOVERY subsidized through dues check off @ $.25 per hour</t>
  </si>
  <si>
    <t>Independent Contractors</t>
  </si>
  <si>
    <t>*not included in total package</t>
  </si>
  <si>
    <t>Total Package = $65.07</t>
  </si>
  <si>
    <t>BIEA*</t>
  </si>
  <si>
    <t>APPRENTICE TRAINING*</t>
  </si>
  <si>
    <t>APPRENTICE TRAINING *</t>
  </si>
  <si>
    <t>CIEA*</t>
  </si>
  <si>
    <t>Total Package = $63.47</t>
  </si>
  <si>
    <t>Total Package = $66.07</t>
  </si>
  <si>
    <t>Total Package = $63.67</t>
  </si>
  <si>
    <t>Total Package = $64.02</t>
  </si>
  <si>
    <t>Total Package = $66.62</t>
  </si>
  <si>
    <t>MONROE COUNTY NY</t>
  </si>
  <si>
    <t>Total Package = $67.66</t>
  </si>
  <si>
    <t>0701/24</t>
  </si>
  <si>
    <t>JULY 01, 2024--JUNE 30, 2025 APPRENTICE RATES:</t>
  </si>
  <si>
    <t>07/0124</t>
  </si>
  <si>
    <t>Total Package = $67.17</t>
  </si>
  <si>
    <t>Total Package = $69.74</t>
  </si>
  <si>
    <t>JULY 01, 2025--JUNE 30, 2026 APPRENTICE RATES:</t>
  </si>
  <si>
    <t>Total Package = $65.12</t>
  </si>
  <si>
    <t>JULY 01,2025--JUNE 30, 2026 APPRENTICE RATES:</t>
  </si>
  <si>
    <t>Total Package = $67.72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</si>
</sst>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.00000_);_(&quot;$&quot;* \(#,##0.0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44" fontId="0" fillId="0" borderId="0" xfId="0" applyNumberFormat="1"/>
    <xf numFmtId="2" fontId="0" fillId="0" borderId="0" xfId="0" applyNumberFormat="1"/>
    <xf numFmtId="0" fontId="4" fillId="0" borderId="0" xfId="0" applyFont="1"/>
    <xf numFmtId="2" fontId="0" fillId="0" borderId="0" xfId="1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8" fillId="0" borderId="0" xfId="0" applyNumberFormat="1" applyFont="1"/>
    <xf numFmtId="0" fontId="8" fillId="0" borderId="0" xfId="0" applyFont="1"/>
    <xf numFmtId="44" fontId="5" fillId="0" borderId="0" xfId="0" applyNumberFormat="1" applyFont="1"/>
    <xf numFmtId="0" fontId="7" fillId="0" borderId="0" xfId="0" applyFont="1"/>
    <xf numFmtId="0" fontId="7" fillId="2" borderId="0" xfId="0" applyFont="1" applyFill="1"/>
    <xf numFmtId="0" fontId="3" fillId="2" borderId="0" xfId="0" applyFont="1" applyFill="1"/>
    <xf numFmtId="165" fontId="5" fillId="0" borderId="0" xfId="0" applyNumberFormat="1" applyFont="1" applyAlignment="1">
      <alignment horizontal="left"/>
    </xf>
    <xf numFmtId="0" fontId="11" fillId="0" borderId="0" xfId="0" applyFont="1"/>
    <xf numFmtId="44" fontId="11" fillId="0" borderId="0" xfId="0" applyNumberFormat="1" applyFont="1"/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0</xdr:row>
      <xdr:rowOff>28575</xdr:rowOff>
    </xdr:from>
    <xdr:to>
      <xdr:col>8</xdr:col>
      <xdr:colOff>523875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3786A-6691-44E2-8C6F-FB0AF514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8575"/>
          <a:ext cx="11334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114300</xdr:rowOff>
    </xdr:from>
    <xdr:to>
      <xdr:col>9</xdr:col>
      <xdr:colOff>152400</xdr:colOff>
      <xdr:row>6</xdr:row>
      <xdr:rowOff>9525</xdr:rowOff>
    </xdr:to>
    <xdr:pic>
      <xdr:nvPicPr>
        <xdr:cNvPr id="2" name="Picture 1" descr="local 111_COPY">
          <a:extLst>
            <a:ext uri="{FF2B5EF4-FFF2-40B4-BE49-F238E27FC236}">
              <a16:creationId xmlns:a16="http://schemas.microsoft.com/office/drawing/2014/main" id="{1B39209D-0468-41F7-AD3C-511AEADC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14300"/>
          <a:ext cx="7620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</xdr:rowOff>
    </xdr:from>
    <xdr:to>
      <xdr:col>7</xdr:col>
      <xdr:colOff>190500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4587D-EE3F-4991-BD3D-49A04AAA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525"/>
          <a:ext cx="13430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114300</xdr:rowOff>
    </xdr:from>
    <xdr:to>
      <xdr:col>9</xdr:col>
      <xdr:colOff>152400</xdr:colOff>
      <xdr:row>6</xdr:row>
      <xdr:rowOff>9525</xdr:rowOff>
    </xdr:to>
    <xdr:pic>
      <xdr:nvPicPr>
        <xdr:cNvPr id="2" name="Picture 1" descr="local 111_COPY">
          <a:extLst>
            <a:ext uri="{FF2B5EF4-FFF2-40B4-BE49-F238E27FC236}">
              <a16:creationId xmlns:a16="http://schemas.microsoft.com/office/drawing/2014/main" id="{D6C8C599-8649-4305-812A-15EBEEFA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7620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114300</xdr:rowOff>
    </xdr:from>
    <xdr:to>
      <xdr:col>9</xdr:col>
      <xdr:colOff>152400</xdr:colOff>
      <xdr:row>6</xdr:row>
      <xdr:rowOff>9525</xdr:rowOff>
    </xdr:to>
    <xdr:pic>
      <xdr:nvPicPr>
        <xdr:cNvPr id="2" name="Picture 1" descr="local 111_COPY">
          <a:extLst>
            <a:ext uri="{FF2B5EF4-FFF2-40B4-BE49-F238E27FC236}">
              <a16:creationId xmlns:a16="http://schemas.microsoft.com/office/drawing/2014/main" id="{4218F8EF-AC83-4864-B6A4-4AE03C8A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733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833F-553F-4B7D-93CD-15BD8E9570B2}">
  <sheetPr codeName="Sheet1">
    <pageSetUpPr fitToPage="1"/>
  </sheetPr>
  <dimension ref="A1:N70"/>
  <sheetViews>
    <sheetView tabSelected="1" topLeftCell="A7" workbookViewId="0">
      <selection activeCell="H18" sqref="H18"/>
    </sheetView>
  </sheetViews>
  <sheetFormatPr defaultRowHeight="15" x14ac:dyDescent="0.25"/>
  <cols>
    <col min="3" max="3" width="8.85546875" customWidth="1"/>
    <col min="4" max="4" width="16.42578125" customWidth="1"/>
    <col min="5" max="5" width="10.42578125" customWidth="1"/>
    <col min="6" max="6" width="13.28515625" customWidth="1"/>
    <col min="7" max="7" width="12.28515625" customWidth="1"/>
    <col min="8" max="8" width="17.42578125" customWidth="1"/>
    <col min="9" max="9" width="16.42578125" customWidth="1"/>
    <col min="10" max="10" width="1.5703125" customWidth="1"/>
    <col min="11" max="11" width="11.7109375" bestFit="1" customWidth="1"/>
    <col min="12" max="12" width="1.7109375" customWidth="1"/>
    <col min="259" max="259" width="8.85546875" customWidth="1"/>
    <col min="260" max="260" width="16.42578125" customWidth="1"/>
    <col min="261" max="261" width="10.42578125" customWidth="1"/>
    <col min="262" max="262" width="13.28515625" customWidth="1"/>
    <col min="263" max="263" width="12.28515625" customWidth="1"/>
    <col min="264" max="264" width="17.42578125" customWidth="1"/>
    <col min="265" max="265" width="16.42578125" customWidth="1"/>
    <col min="266" max="266" width="1.5703125" customWidth="1"/>
    <col min="267" max="267" width="11.7109375" bestFit="1" customWidth="1"/>
    <col min="268" max="268" width="1.7109375" customWidth="1"/>
    <col min="515" max="515" width="8.85546875" customWidth="1"/>
    <col min="516" max="516" width="16.42578125" customWidth="1"/>
    <col min="517" max="517" width="10.42578125" customWidth="1"/>
    <col min="518" max="518" width="13.28515625" customWidth="1"/>
    <col min="519" max="519" width="12.28515625" customWidth="1"/>
    <col min="520" max="520" width="17.42578125" customWidth="1"/>
    <col min="521" max="521" width="16.42578125" customWidth="1"/>
    <col min="522" max="522" width="1.5703125" customWidth="1"/>
    <col min="523" max="523" width="11.7109375" bestFit="1" customWidth="1"/>
    <col min="524" max="524" width="1.7109375" customWidth="1"/>
    <col min="771" max="771" width="8.85546875" customWidth="1"/>
    <col min="772" max="772" width="16.42578125" customWidth="1"/>
    <col min="773" max="773" width="10.42578125" customWidth="1"/>
    <col min="774" max="774" width="13.28515625" customWidth="1"/>
    <col min="775" max="775" width="12.28515625" customWidth="1"/>
    <col min="776" max="776" width="17.42578125" customWidth="1"/>
    <col min="777" max="777" width="16.42578125" customWidth="1"/>
    <col min="778" max="778" width="1.5703125" customWidth="1"/>
    <col min="779" max="779" width="11.7109375" bestFit="1" customWidth="1"/>
    <col min="780" max="780" width="1.7109375" customWidth="1"/>
    <col min="1027" max="1027" width="8.85546875" customWidth="1"/>
    <col min="1028" max="1028" width="16.42578125" customWidth="1"/>
    <col min="1029" max="1029" width="10.42578125" customWidth="1"/>
    <col min="1030" max="1030" width="13.28515625" customWidth="1"/>
    <col min="1031" max="1031" width="12.28515625" customWidth="1"/>
    <col min="1032" max="1032" width="17.42578125" customWidth="1"/>
    <col min="1033" max="1033" width="16.42578125" customWidth="1"/>
    <col min="1034" max="1034" width="1.5703125" customWidth="1"/>
    <col min="1035" max="1035" width="11.7109375" bestFit="1" customWidth="1"/>
    <col min="1036" max="1036" width="1.7109375" customWidth="1"/>
    <col min="1283" max="1283" width="8.85546875" customWidth="1"/>
    <col min="1284" max="1284" width="16.42578125" customWidth="1"/>
    <col min="1285" max="1285" width="10.42578125" customWidth="1"/>
    <col min="1286" max="1286" width="13.28515625" customWidth="1"/>
    <col min="1287" max="1287" width="12.28515625" customWidth="1"/>
    <col min="1288" max="1288" width="17.42578125" customWidth="1"/>
    <col min="1289" max="1289" width="16.42578125" customWidth="1"/>
    <col min="1290" max="1290" width="1.5703125" customWidth="1"/>
    <col min="1291" max="1291" width="11.7109375" bestFit="1" customWidth="1"/>
    <col min="1292" max="1292" width="1.7109375" customWidth="1"/>
    <col min="1539" max="1539" width="8.85546875" customWidth="1"/>
    <col min="1540" max="1540" width="16.42578125" customWidth="1"/>
    <col min="1541" max="1541" width="10.42578125" customWidth="1"/>
    <col min="1542" max="1542" width="13.28515625" customWidth="1"/>
    <col min="1543" max="1543" width="12.28515625" customWidth="1"/>
    <col min="1544" max="1544" width="17.42578125" customWidth="1"/>
    <col min="1545" max="1545" width="16.42578125" customWidth="1"/>
    <col min="1546" max="1546" width="1.5703125" customWidth="1"/>
    <col min="1547" max="1547" width="11.7109375" bestFit="1" customWidth="1"/>
    <col min="1548" max="1548" width="1.7109375" customWidth="1"/>
    <col min="1795" max="1795" width="8.85546875" customWidth="1"/>
    <col min="1796" max="1796" width="16.42578125" customWidth="1"/>
    <col min="1797" max="1797" width="10.42578125" customWidth="1"/>
    <col min="1798" max="1798" width="13.28515625" customWidth="1"/>
    <col min="1799" max="1799" width="12.28515625" customWidth="1"/>
    <col min="1800" max="1800" width="17.42578125" customWidth="1"/>
    <col min="1801" max="1801" width="16.42578125" customWidth="1"/>
    <col min="1802" max="1802" width="1.5703125" customWidth="1"/>
    <col min="1803" max="1803" width="11.7109375" bestFit="1" customWidth="1"/>
    <col min="1804" max="1804" width="1.7109375" customWidth="1"/>
    <col min="2051" max="2051" width="8.85546875" customWidth="1"/>
    <col min="2052" max="2052" width="16.42578125" customWidth="1"/>
    <col min="2053" max="2053" width="10.42578125" customWidth="1"/>
    <col min="2054" max="2054" width="13.28515625" customWidth="1"/>
    <col min="2055" max="2055" width="12.28515625" customWidth="1"/>
    <col min="2056" max="2056" width="17.42578125" customWidth="1"/>
    <col min="2057" max="2057" width="16.42578125" customWidth="1"/>
    <col min="2058" max="2058" width="1.5703125" customWidth="1"/>
    <col min="2059" max="2059" width="11.7109375" bestFit="1" customWidth="1"/>
    <col min="2060" max="2060" width="1.7109375" customWidth="1"/>
    <col min="2307" max="2307" width="8.85546875" customWidth="1"/>
    <col min="2308" max="2308" width="16.42578125" customWidth="1"/>
    <col min="2309" max="2309" width="10.42578125" customWidth="1"/>
    <col min="2310" max="2310" width="13.28515625" customWidth="1"/>
    <col min="2311" max="2311" width="12.28515625" customWidth="1"/>
    <col min="2312" max="2312" width="17.42578125" customWidth="1"/>
    <col min="2313" max="2313" width="16.42578125" customWidth="1"/>
    <col min="2314" max="2314" width="1.5703125" customWidth="1"/>
    <col min="2315" max="2315" width="11.7109375" bestFit="1" customWidth="1"/>
    <col min="2316" max="2316" width="1.7109375" customWidth="1"/>
    <col min="2563" max="2563" width="8.85546875" customWidth="1"/>
    <col min="2564" max="2564" width="16.42578125" customWidth="1"/>
    <col min="2565" max="2565" width="10.42578125" customWidth="1"/>
    <col min="2566" max="2566" width="13.28515625" customWidth="1"/>
    <col min="2567" max="2567" width="12.28515625" customWidth="1"/>
    <col min="2568" max="2568" width="17.42578125" customWidth="1"/>
    <col min="2569" max="2569" width="16.42578125" customWidth="1"/>
    <col min="2570" max="2570" width="1.5703125" customWidth="1"/>
    <col min="2571" max="2571" width="11.7109375" bestFit="1" customWidth="1"/>
    <col min="2572" max="2572" width="1.7109375" customWidth="1"/>
    <col min="2819" max="2819" width="8.85546875" customWidth="1"/>
    <col min="2820" max="2820" width="16.42578125" customWidth="1"/>
    <col min="2821" max="2821" width="10.42578125" customWidth="1"/>
    <col min="2822" max="2822" width="13.28515625" customWidth="1"/>
    <col min="2823" max="2823" width="12.28515625" customWidth="1"/>
    <col min="2824" max="2824" width="17.42578125" customWidth="1"/>
    <col min="2825" max="2825" width="16.42578125" customWidth="1"/>
    <col min="2826" max="2826" width="1.5703125" customWidth="1"/>
    <col min="2827" max="2827" width="11.7109375" bestFit="1" customWidth="1"/>
    <col min="2828" max="2828" width="1.7109375" customWidth="1"/>
    <col min="3075" max="3075" width="8.85546875" customWidth="1"/>
    <col min="3076" max="3076" width="16.42578125" customWidth="1"/>
    <col min="3077" max="3077" width="10.42578125" customWidth="1"/>
    <col min="3078" max="3078" width="13.28515625" customWidth="1"/>
    <col min="3079" max="3079" width="12.28515625" customWidth="1"/>
    <col min="3080" max="3080" width="17.42578125" customWidth="1"/>
    <col min="3081" max="3081" width="16.42578125" customWidth="1"/>
    <col min="3082" max="3082" width="1.5703125" customWidth="1"/>
    <col min="3083" max="3083" width="11.7109375" bestFit="1" customWidth="1"/>
    <col min="3084" max="3084" width="1.7109375" customWidth="1"/>
    <col min="3331" max="3331" width="8.85546875" customWidth="1"/>
    <col min="3332" max="3332" width="16.42578125" customWidth="1"/>
    <col min="3333" max="3333" width="10.42578125" customWidth="1"/>
    <col min="3334" max="3334" width="13.28515625" customWidth="1"/>
    <col min="3335" max="3335" width="12.28515625" customWidth="1"/>
    <col min="3336" max="3336" width="17.42578125" customWidth="1"/>
    <col min="3337" max="3337" width="16.42578125" customWidth="1"/>
    <col min="3338" max="3338" width="1.5703125" customWidth="1"/>
    <col min="3339" max="3339" width="11.7109375" bestFit="1" customWidth="1"/>
    <col min="3340" max="3340" width="1.7109375" customWidth="1"/>
    <col min="3587" max="3587" width="8.85546875" customWidth="1"/>
    <col min="3588" max="3588" width="16.42578125" customWidth="1"/>
    <col min="3589" max="3589" width="10.42578125" customWidth="1"/>
    <col min="3590" max="3590" width="13.28515625" customWidth="1"/>
    <col min="3591" max="3591" width="12.28515625" customWidth="1"/>
    <col min="3592" max="3592" width="17.42578125" customWidth="1"/>
    <col min="3593" max="3593" width="16.42578125" customWidth="1"/>
    <col min="3594" max="3594" width="1.5703125" customWidth="1"/>
    <col min="3595" max="3595" width="11.7109375" bestFit="1" customWidth="1"/>
    <col min="3596" max="3596" width="1.7109375" customWidth="1"/>
    <col min="3843" max="3843" width="8.85546875" customWidth="1"/>
    <col min="3844" max="3844" width="16.42578125" customWidth="1"/>
    <col min="3845" max="3845" width="10.42578125" customWidth="1"/>
    <col min="3846" max="3846" width="13.28515625" customWidth="1"/>
    <col min="3847" max="3847" width="12.28515625" customWidth="1"/>
    <col min="3848" max="3848" width="17.42578125" customWidth="1"/>
    <col min="3849" max="3849" width="16.42578125" customWidth="1"/>
    <col min="3850" max="3850" width="1.5703125" customWidth="1"/>
    <col min="3851" max="3851" width="11.7109375" bestFit="1" customWidth="1"/>
    <col min="3852" max="3852" width="1.7109375" customWidth="1"/>
    <col min="4099" max="4099" width="8.85546875" customWidth="1"/>
    <col min="4100" max="4100" width="16.42578125" customWidth="1"/>
    <col min="4101" max="4101" width="10.42578125" customWidth="1"/>
    <col min="4102" max="4102" width="13.28515625" customWidth="1"/>
    <col min="4103" max="4103" width="12.28515625" customWidth="1"/>
    <col min="4104" max="4104" width="17.42578125" customWidth="1"/>
    <col min="4105" max="4105" width="16.42578125" customWidth="1"/>
    <col min="4106" max="4106" width="1.5703125" customWidth="1"/>
    <col min="4107" max="4107" width="11.7109375" bestFit="1" customWidth="1"/>
    <col min="4108" max="4108" width="1.7109375" customWidth="1"/>
    <col min="4355" max="4355" width="8.85546875" customWidth="1"/>
    <col min="4356" max="4356" width="16.42578125" customWidth="1"/>
    <col min="4357" max="4357" width="10.42578125" customWidth="1"/>
    <col min="4358" max="4358" width="13.28515625" customWidth="1"/>
    <col min="4359" max="4359" width="12.28515625" customWidth="1"/>
    <col min="4360" max="4360" width="17.42578125" customWidth="1"/>
    <col min="4361" max="4361" width="16.42578125" customWidth="1"/>
    <col min="4362" max="4362" width="1.5703125" customWidth="1"/>
    <col min="4363" max="4363" width="11.7109375" bestFit="1" customWidth="1"/>
    <col min="4364" max="4364" width="1.7109375" customWidth="1"/>
    <col min="4611" max="4611" width="8.85546875" customWidth="1"/>
    <col min="4612" max="4612" width="16.42578125" customWidth="1"/>
    <col min="4613" max="4613" width="10.42578125" customWidth="1"/>
    <col min="4614" max="4614" width="13.28515625" customWidth="1"/>
    <col min="4615" max="4615" width="12.28515625" customWidth="1"/>
    <col min="4616" max="4616" width="17.42578125" customWidth="1"/>
    <col min="4617" max="4617" width="16.42578125" customWidth="1"/>
    <col min="4618" max="4618" width="1.5703125" customWidth="1"/>
    <col min="4619" max="4619" width="11.7109375" bestFit="1" customWidth="1"/>
    <col min="4620" max="4620" width="1.7109375" customWidth="1"/>
    <col min="4867" max="4867" width="8.85546875" customWidth="1"/>
    <col min="4868" max="4868" width="16.42578125" customWidth="1"/>
    <col min="4869" max="4869" width="10.42578125" customWidth="1"/>
    <col min="4870" max="4870" width="13.28515625" customWidth="1"/>
    <col min="4871" max="4871" width="12.28515625" customWidth="1"/>
    <col min="4872" max="4872" width="17.42578125" customWidth="1"/>
    <col min="4873" max="4873" width="16.42578125" customWidth="1"/>
    <col min="4874" max="4874" width="1.5703125" customWidth="1"/>
    <col min="4875" max="4875" width="11.7109375" bestFit="1" customWidth="1"/>
    <col min="4876" max="4876" width="1.7109375" customWidth="1"/>
    <col min="5123" max="5123" width="8.85546875" customWidth="1"/>
    <col min="5124" max="5124" width="16.42578125" customWidth="1"/>
    <col min="5125" max="5125" width="10.42578125" customWidth="1"/>
    <col min="5126" max="5126" width="13.28515625" customWidth="1"/>
    <col min="5127" max="5127" width="12.28515625" customWidth="1"/>
    <col min="5128" max="5128" width="17.42578125" customWidth="1"/>
    <col min="5129" max="5129" width="16.42578125" customWidth="1"/>
    <col min="5130" max="5130" width="1.5703125" customWidth="1"/>
    <col min="5131" max="5131" width="11.7109375" bestFit="1" customWidth="1"/>
    <col min="5132" max="5132" width="1.7109375" customWidth="1"/>
    <col min="5379" max="5379" width="8.85546875" customWidth="1"/>
    <col min="5380" max="5380" width="16.42578125" customWidth="1"/>
    <col min="5381" max="5381" width="10.42578125" customWidth="1"/>
    <col min="5382" max="5382" width="13.28515625" customWidth="1"/>
    <col min="5383" max="5383" width="12.28515625" customWidth="1"/>
    <col min="5384" max="5384" width="17.42578125" customWidth="1"/>
    <col min="5385" max="5385" width="16.42578125" customWidth="1"/>
    <col min="5386" max="5386" width="1.5703125" customWidth="1"/>
    <col min="5387" max="5387" width="11.7109375" bestFit="1" customWidth="1"/>
    <col min="5388" max="5388" width="1.7109375" customWidth="1"/>
    <col min="5635" max="5635" width="8.85546875" customWidth="1"/>
    <col min="5636" max="5636" width="16.42578125" customWidth="1"/>
    <col min="5637" max="5637" width="10.42578125" customWidth="1"/>
    <col min="5638" max="5638" width="13.28515625" customWidth="1"/>
    <col min="5639" max="5639" width="12.28515625" customWidth="1"/>
    <col min="5640" max="5640" width="17.42578125" customWidth="1"/>
    <col min="5641" max="5641" width="16.42578125" customWidth="1"/>
    <col min="5642" max="5642" width="1.5703125" customWidth="1"/>
    <col min="5643" max="5643" width="11.7109375" bestFit="1" customWidth="1"/>
    <col min="5644" max="5644" width="1.7109375" customWidth="1"/>
    <col min="5891" max="5891" width="8.85546875" customWidth="1"/>
    <col min="5892" max="5892" width="16.42578125" customWidth="1"/>
    <col min="5893" max="5893" width="10.42578125" customWidth="1"/>
    <col min="5894" max="5894" width="13.28515625" customWidth="1"/>
    <col min="5895" max="5895" width="12.28515625" customWidth="1"/>
    <col min="5896" max="5896" width="17.42578125" customWidth="1"/>
    <col min="5897" max="5897" width="16.42578125" customWidth="1"/>
    <col min="5898" max="5898" width="1.5703125" customWidth="1"/>
    <col min="5899" max="5899" width="11.7109375" bestFit="1" customWidth="1"/>
    <col min="5900" max="5900" width="1.7109375" customWidth="1"/>
    <col min="6147" max="6147" width="8.85546875" customWidth="1"/>
    <col min="6148" max="6148" width="16.42578125" customWidth="1"/>
    <col min="6149" max="6149" width="10.42578125" customWidth="1"/>
    <col min="6150" max="6150" width="13.28515625" customWidth="1"/>
    <col min="6151" max="6151" width="12.28515625" customWidth="1"/>
    <col min="6152" max="6152" width="17.42578125" customWidth="1"/>
    <col min="6153" max="6153" width="16.42578125" customWidth="1"/>
    <col min="6154" max="6154" width="1.5703125" customWidth="1"/>
    <col min="6155" max="6155" width="11.7109375" bestFit="1" customWidth="1"/>
    <col min="6156" max="6156" width="1.7109375" customWidth="1"/>
    <col min="6403" max="6403" width="8.85546875" customWidth="1"/>
    <col min="6404" max="6404" width="16.42578125" customWidth="1"/>
    <col min="6405" max="6405" width="10.42578125" customWidth="1"/>
    <col min="6406" max="6406" width="13.28515625" customWidth="1"/>
    <col min="6407" max="6407" width="12.28515625" customWidth="1"/>
    <col min="6408" max="6408" width="17.42578125" customWidth="1"/>
    <col min="6409" max="6409" width="16.42578125" customWidth="1"/>
    <col min="6410" max="6410" width="1.5703125" customWidth="1"/>
    <col min="6411" max="6411" width="11.7109375" bestFit="1" customWidth="1"/>
    <col min="6412" max="6412" width="1.7109375" customWidth="1"/>
    <col min="6659" max="6659" width="8.85546875" customWidth="1"/>
    <col min="6660" max="6660" width="16.42578125" customWidth="1"/>
    <col min="6661" max="6661" width="10.42578125" customWidth="1"/>
    <col min="6662" max="6662" width="13.28515625" customWidth="1"/>
    <col min="6663" max="6663" width="12.28515625" customWidth="1"/>
    <col min="6664" max="6664" width="17.42578125" customWidth="1"/>
    <col min="6665" max="6665" width="16.42578125" customWidth="1"/>
    <col min="6666" max="6666" width="1.5703125" customWidth="1"/>
    <col min="6667" max="6667" width="11.7109375" bestFit="1" customWidth="1"/>
    <col min="6668" max="6668" width="1.7109375" customWidth="1"/>
    <col min="6915" max="6915" width="8.85546875" customWidth="1"/>
    <col min="6916" max="6916" width="16.42578125" customWidth="1"/>
    <col min="6917" max="6917" width="10.42578125" customWidth="1"/>
    <col min="6918" max="6918" width="13.28515625" customWidth="1"/>
    <col min="6919" max="6919" width="12.28515625" customWidth="1"/>
    <col min="6920" max="6920" width="17.42578125" customWidth="1"/>
    <col min="6921" max="6921" width="16.42578125" customWidth="1"/>
    <col min="6922" max="6922" width="1.5703125" customWidth="1"/>
    <col min="6923" max="6923" width="11.7109375" bestFit="1" customWidth="1"/>
    <col min="6924" max="6924" width="1.7109375" customWidth="1"/>
    <col min="7171" max="7171" width="8.85546875" customWidth="1"/>
    <col min="7172" max="7172" width="16.42578125" customWidth="1"/>
    <col min="7173" max="7173" width="10.42578125" customWidth="1"/>
    <col min="7174" max="7174" width="13.28515625" customWidth="1"/>
    <col min="7175" max="7175" width="12.28515625" customWidth="1"/>
    <col min="7176" max="7176" width="17.42578125" customWidth="1"/>
    <col min="7177" max="7177" width="16.42578125" customWidth="1"/>
    <col min="7178" max="7178" width="1.5703125" customWidth="1"/>
    <col min="7179" max="7179" width="11.7109375" bestFit="1" customWidth="1"/>
    <col min="7180" max="7180" width="1.7109375" customWidth="1"/>
    <col min="7427" max="7427" width="8.85546875" customWidth="1"/>
    <col min="7428" max="7428" width="16.42578125" customWidth="1"/>
    <col min="7429" max="7429" width="10.42578125" customWidth="1"/>
    <col min="7430" max="7430" width="13.28515625" customWidth="1"/>
    <col min="7431" max="7431" width="12.28515625" customWidth="1"/>
    <col min="7432" max="7432" width="17.42578125" customWidth="1"/>
    <col min="7433" max="7433" width="16.42578125" customWidth="1"/>
    <col min="7434" max="7434" width="1.5703125" customWidth="1"/>
    <col min="7435" max="7435" width="11.7109375" bestFit="1" customWidth="1"/>
    <col min="7436" max="7436" width="1.7109375" customWidth="1"/>
    <col min="7683" max="7683" width="8.85546875" customWidth="1"/>
    <col min="7684" max="7684" width="16.42578125" customWidth="1"/>
    <col min="7685" max="7685" width="10.42578125" customWidth="1"/>
    <col min="7686" max="7686" width="13.28515625" customWidth="1"/>
    <col min="7687" max="7687" width="12.28515625" customWidth="1"/>
    <col min="7688" max="7688" width="17.42578125" customWidth="1"/>
    <col min="7689" max="7689" width="16.42578125" customWidth="1"/>
    <col min="7690" max="7690" width="1.5703125" customWidth="1"/>
    <col min="7691" max="7691" width="11.7109375" bestFit="1" customWidth="1"/>
    <col min="7692" max="7692" width="1.7109375" customWidth="1"/>
    <col min="7939" max="7939" width="8.85546875" customWidth="1"/>
    <col min="7940" max="7940" width="16.42578125" customWidth="1"/>
    <col min="7941" max="7941" width="10.42578125" customWidth="1"/>
    <col min="7942" max="7942" width="13.28515625" customWidth="1"/>
    <col min="7943" max="7943" width="12.28515625" customWidth="1"/>
    <col min="7944" max="7944" width="17.42578125" customWidth="1"/>
    <col min="7945" max="7945" width="16.42578125" customWidth="1"/>
    <col min="7946" max="7946" width="1.5703125" customWidth="1"/>
    <col min="7947" max="7947" width="11.7109375" bestFit="1" customWidth="1"/>
    <col min="7948" max="7948" width="1.7109375" customWidth="1"/>
    <col min="8195" max="8195" width="8.85546875" customWidth="1"/>
    <col min="8196" max="8196" width="16.42578125" customWidth="1"/>
    <col min="8197" max="8197" width="10.42578125" customWidth="1"/>
    <col min="8198" max="8198" width="13.28515625" customWidth="1"/>
    <col min="8199" max="8199" width="12.28515625" customWidth="1"/>
    <col min="8200" max="8200" width="17.42578125" customWidth="1"/>
    <col min="8201" max="8201" width="16.42578125" customWidth="1"/>
    <col min="8202" max="8202" width="1.5703125" customWidth="1"/>
    <col min="8203" max="8203" width="11.7109375" bestFit="1" customWidth="1"/>
    <col min="8204" max="8204" width="1.7109375" customWidth="1"/>
    <col min="8451" max="8451" width="8.85546875" customWidth="1"/>
    <col min="8452" max="8452" width="16.42578125" customWidth="1"/>
    <col min="8453" max="8453" width="10.42578125" customWidth="1"/>
    <col min="8454" max="8454" width="13.28515625" customWidth="1"/>
    <col min="8455" max="8455" width="12.28515625" customWidth="1"/>
    <col min="8456" max="8456" width="17.42578125" customWidth="1"/>
    <col min="8457" max="8457" width="16.42578125" customWidth="1"/>
    <col min="8458" max="8458" width="1.5703125" customWidth="1"/>
    <col min="8459" max="8459" width="11.7109375" bestFit="1" customWidth="1"/>
    <col min="8460" max="8460" width="1.7109375" customWidth="1"/>
    <col min="8707" max="8707" width="8.85546875" customWidth="1"/>
    <col min="8708" max="8708" width="16.42578125" customWidth="1"/>
    <col min="8709" max="8709" width="10.42578125" customWidth="1"/>
    <col min="8710" max="8710" width="13.28515625" customWidth="1"/>
    <col min="8711" max="8711" width="12.28515625" customWidth="1"/>
    <col min="8712" max="8712" width="17.42578125" customWidth="1"/>
    <col min="8713" max="8713" width="16.42578125" customWidth="1"/>
    <col min="8714" max="8714" width="1.5703125" customWidth="1"/>
    <col min="8715" max="8715" width="11.7109375" bestFit="1" customWidth="1"/>
    <col min="8716" max="8716" width="1.7109375" customWidth="1"/>
    <col min="8963" max="8963" width="8.85546875" customWidth="1"/>
    <col min="8964" max="8964" width="16.42578125" customWidth="1"/>
    <col min="8965" max="8965" width="10.42578125" customWidth="1"/>
    <col min="8966" max="8966" width="13.28515625" customWidth="1"/>
    <col min="8967" max="8967" width="12.28515625" customWidth="1"/>
    <col min="8968" max="8968" width="17.42578125" customWidth="1"/>
    <col min="8969" max="8969" width="16.42578125" customWidth="1"/>
    <col min="8970" max="8970" width="1.5703125" customWidth="1"/>
    <col min="8971" max="8971" width="11.7109375" bestFit="1" customWidth="1"/>
    <col min="8972" max="8972" width="1.7109375" customWidth="1"/>
    <col min="9219" max="9219" width="8.85546875" customWidth="1"/>
    <col min="9220" max="9220" width="16.42578125" customWidth="1"/>
    <col min="9221" max="9221" width="10.42578125" customWidth="1"/>
    <col min="9222" max="9222" width="13.28515625" customWidth="1"/>
    <col min="9223" max="9223" width="12.28515625" customWidth="1"/>
    <col min="9224" max="9224" width="17.42578125" customWidth="1"/>
    <col min="9225" max="9225" width="16.42578125" customWidth="1"/>
    <col min="9226" max="9226" width="1.5703125" customWidth="1"/>
    <col min="9227" max="9227" width="11.7109375" bestFit="1" customWidth="1"/>
    <col min="9228" max="9228" width="1.7109375" customWidth="1"/>
    <col min="9475" max="9475" width="8.85546875" customWidth="1"/>
    <col min="9476" max="9476" width="16.42578125" customWidth="1"/>
    <col min="9477" max="9477" width="10.42578125" customWidth="1"/>
    <col min="9478" max="9478" width="13.28515625" customWidth="1"/>
    <col min="9479" max="9479" width="12.28515625" customWidth="1"/>
    <col min="9480" max="9480" width="17.42578125" customWidth="1"/>
    <col min="9481" max="9481" width="16.42578125" customWidth="1"/>
    <col min="9482" max="9482" width="1.5703125" customWidth="1"/>
    <col min="9483" max="9483" width="11.7109375" bestFit="1" customWidth="1"/>
    <col min="9484" max="9484" width="1.7109375" customWidth="1"/>
    <col min="9731" max="9731" width="8.85546875" customWidth="1"/>
    <col min="9732" max="9732" width="16.42578125" customWidth="1"/>
    <col min="9733" max="9733" width="10.42578125" customWidth="1"/>
    <col min="9734" max="9734" width="13.28515625" customWidth="1"/>
    <col min="9735" max="9735" width="12.28515625" customWidth="1"/>
    <col min="9736" max="9736" width="17.42578125" customWidth="1"/>
    <col min="9737" max="9737" width="16.42578125" customWidth="1"/>
    <col min="9738" max="9738" width="1.5703125" customWidth="1"/>
    <col min="9739" max="9739" width="11.7109375" bestFit="1" customWidth="1"/>
    <col min="9740" max="9740" width="1.7109375" customWidth="1"/>
    <col min="9987" max="9987" width="8.85546875" customWidth="1"/>
    <col min="9988" max="9988" width="16.42578125" customWidth="1"/>
    <col min="9989" max="9989" width="10.42578125" customWidth="1"/>
    <col min="9990" max="9990" width="13.28515625" customWidth="1"/>
    <col min="9991" max="9991" width="12.28515625" customWidth="1"/>
    <col min="9992" max="9992" width="17.42578125" customWidth="1"/>
    <col min="9993" max="9993" width="16.42578125" customWidth="1"/>
    <col min="9994" max="9994" width="1.5703125" customWidth="1"/>
    <col min="9995" max="9995" width="11.7109375" bestFit="1" customWidth="1"/>
    <col min="9996" max="9996" width="1.7109375" customWidth="1"/>
    <col min="10243" max="10243" width="8.85546875" customWidth="1"/>
    <col min="10244" max="10244" width="16.42578125" customWidth="1"/>
    <col min="10245" max="10245" width="10.42578125" customWidth="1"/>
    <col min="10246" max="10246" width="13.28515625" customWidth="1"/>
    <col min="10247" max="10247" width="12.28515625" customWidth="1"/>
    <col min="10248" max="10248" width="17.42578125" customWidth="1"/>
    <col min="10249" max="10249" width="16.42578125" customWidth="1"/>
    <col min="10250" max="10250" width="1.5703125" customWidth="1"/>
    <col min="10251" max="10251" width="11.7109375" bestFit="1" customWidth="1"/>
    <col min="10252" max="10252" width="1.7109375" customWidth="1"/>
    <col min="10499" max="10499" width="8.85546875" customWidth="1"/>
    <col min="10500" max="10500" width="16.42578125" customWidth="1"/>
    <col min="10501" max="10501" width="10.42578125" customWidth="1"/>
    <col min="10502" max="10502" width="13.28515625" customWidth="1"/>
    <col min="10503" max="10503" width="12.28515625" customWidth="1"/>
    <col min="10504" max="10504" width="17.42578125" customWidth="1"/>
    <col min="10505" max="10505" width="16.42578125" customWidth="1"/>
    <col min="10506" max="10506" width="1.5703125" customWidth="1"/>
    <col min="10507" max="10507" width="11.7109375" bestFit="1" customWidth="1"/>
    <col min="10508" max="10508" width="1.7109375" customWidth="1"/>
    <col min="10755" max="10755" width="8.85546875" customWidth="1"/>
    <col min="10756" max="10756" width="16.42578125" customWidth="1"/>
    <col min="10757" max="10757" width="10.42578125" customWidth="1"/>
    <col min="10758" max="10758" width="13.28515625" customWidth="1"/>
    <col min="10759" max="10759" width="12.28515625" customWidth="1"/>
    <col min="10760" max="10760" width="17.42578125" customWidth="1"/>
    <col min="10761" max="10761" width="16.42578125" customWidth="1"/>
    <col min="10762" max="10762" width="1.5703125" customWidth="1"/>
    <col min="10763" max="10763" width="11.7109375" bestFit="1" customWidth="1"/>
    <col min="10764" max="10764" width="1.7109375" customWidth="1"/>
    <col min="11011" max="11011" width="8.85546875" customWidth="1"/>
    <col min="11012" max="11012" width="16.42578125" customWidth="1"/>
    <col min="11013" max="11013" width="10.42578125" customWidth="1"/>
    <col min="11014" max="11014" width="13.28515625" customWidth="1"/>
    <col min="11015" max="11015" width="12.28515625" customWidth="1"/>
    <col min="11016" max="11016" width="17.42578125" customWidth="1"/>
    <col min="11017" max="11017" width="16.42578125" customWidth="1"/>
    <col min="11018" max="11018" width="1.5703125" customWidth="1"/>
    <col min="11019" max="11019" width="11.7109375" bestFit="1" customWidth="1"/>
    <col min="11020" max="11020" width="1.7109375" customWidth="1"/>
    <col min="11267" max="11267" width="8.85546875" customWidth="1"/>
    <col min="11268" max="11268" width="16.42578125" customWidth="1"/>
    <col min="11269" max="11269" width="10.42578125" customWidth="1"/>
    <col min="11270" max="11270" width="13.28515625" customWidth="1"/>
    <col min="11271" max="11271" width="12.28515625" customWidth="1"/>
    <col min="11272" max="11272" width="17.42578125" customWidth="1"/>
    <col min="11273" max="11273" width="16.42578125" customWidth="1"/>
    <col min="11274" max="11274" width="1.5703125" customWidth="1"/>
    <col min="11275" max="11275" width="11.7109375" bestFit="1" customWidth="1"/>
    <col min="11276" max="11276" width="1.7109375" customWidth="1"/>
    <col min="11523" max="11523" width="8.85546875" customWidth="1"/>
    <col min="11524" max="11524" width="16.42578125" customWidth="1"/>
    <col min="11525" max="11525" width="10.42578125" customWidth="1"/>
    <col min="11526" max="11526" width="13.28515625" customWidth="1"/>
    <col min="11527" max="11527" width="12.28515625" customWidth="1"/>
    <col min="11528" max="11528" width="17.42578125" customWidth="1"/>
    <col min="11529" max="11529" width="16.42578125" customWidth="1"/>
    <col min="11530" max="11530" width="1.5703125" customWidth="1"/>
    <col min="11531" max="11531" width="11.7109375" bestFit="1" customWidth="1"/>
    <col min="11532" max="11532" width="1.7109375" customWidth="1"/>
    <col min="11779" max="11779" width="8.85546875" customWidth="1"/>
    <col min="11780" max="11780" width="16.42578125" customWidth="1"/>
    <col min="11781" max="11781" width="10.42578125" customWidth="1"/>
    <col min="11782" max="11782" width="13.28515625" customWidth="1"/>
    <col min="11783" max="11783" width="12.28515625" customWidth="1"/>
    <col min="11784" max="11784" width="17.42578125" customWidth="1"/>
    <col min="11785" max="11785" width="16.42578125" customWidth="1"/>
    <col min="11786" max="11786" width="1.5703125" customWidth="1"/>
    <col min="11787" max="11787" width="11.7109375" bestFit="1" customWidth="1"/>
    <col min="11788" max="11788" width="1.7109375" customWidth="1"/>
    <col min="12035" max="12035" width="8.85546875" customWidth="1"/>
    <col min="12036" max="12036" width="16.42578125" customWidth="1"/>
    <col min="12037" max="12037" width="10.42578125" customWidth="1"/>
    <col min="12038" max="12038" width="13.28515625" customWidth="1"/>
    <col min="12039" max="12039" width="12.28515625" customWidth="1"/>
    <col min="12040" max="12040" width="17.42578125" customWidth="1"/>
    <col min="12041" max="12041" width="16.42578125" customWidth="1"/>
    <col min="12042" max="12042" width="1.5703125" customWidth="1"/>
    <col min="12043" max="12043" width="11.7109375" bestFit="1" customWidth="1"/>
    <col min="12044" max="12044" width="1.7109375" customWidth="1"/>
    <col min="12291" max="12291" width="8.85546875" customWidth="1"/>
    <col min="12292" max="12292" width="16.42578125" customWidth="1"/>
    <col min="12293" max="12293" width="10.42578125" customWidth="1"/>
    <col min="12294" max="12294" width="13.28515625" customWidth="1"/>
    <col min="12295" max="12295" width="12.28515625" customWidth="1"/>
    <col min="12296" max="12296" width="17.42578125" customWidth="1"/>
    <col min="12297" max="12297" width="16.42578125" customWidth="1"/>
    <col min="12298" max="12298" width="1.5703125" customWidth="1"/>
    <col min="12299" max="12299" width="11.7109375" bestFit="1" customWidth="1"/>
    <col min="12300" max="12300" width="1.7109375" customWidth="1"/>
    <col min="12547" max="12547" width="8.85546875" customWidth="1"/>
    <col min="12548" max="12548" width="16.42578125" customWidth="1"/>
    <col min="12549" max="12549" width="10.42578125" customWidth="1"/>
    <col min="12550" max="12550" width="13.28515625" customWidth="1"/>
    <col min="12551" max="12551" width="12.28515625" customWidth="1"/>
    <col min="12552" max="12552" width="17.42578125" customWidth="1"/>
    <col min="12553" max="12553" width="16.42578125" customWidth="1"/>
    <col min="12554" max="12554" width="1.5703125" customWidth="1"/>
    <col min="12555" max="12555" width="11.7109375" bestFit="1" customWidth="1"/>
    <col min="12556" max="12556" width="1.7109375" customWidth="1"/>
    <col min="12803" max="12803" width="8.85546875" customWidth="1"/>
    <col min="12804" max="12804" width="16.42578125" customWidth="1"/>
    <col min="12805" max="12805" width="10.42578125" customWidth="1"/>
    <col min="12806" max="12806" width="13.28515625" customWidth="1"/>
    <col min="12807" max="12807" width="12.28515625" customWidth="1"/>
    <col min="12808" max="12808" width="17.42578125" customWidth="1"/>
    <col min="12809" max="12809" width="16.42578125" customWidth="1"/>
    <col min="12810" max="12810" width="1.5703125" customWidth="1"/>
    <col min="12811" max="12811" width="11.7109375" bestFit="1" customWidth="1"/>
    <col min="12812" max="12812" width="1.7109375" customWidth="1"/>
    <col min="13059" max="13059" width="8.85546875" customWidth="1"/>
    <col min="13060" max="13060" width="16.42578125" customWidth="1"/>
    <col min="13061" max="13061" width="10.42578125" customWidth="1"/>
    <col min="13062" max="13062" width="13.28515625" customWidth="1"/>
    <col min="13063" max="13063" width="12.28515625" customWidth="1"/>
    <col min="13064" max="13064" width="17.42578125" customWidth="1"/>
    <col min="13065" max="13065" width="16.42578125" customWidth="1"/>
    <col min="13066" max="13066" width="1.5703125" customWidth="1"/>
    <col min="13067" max="13067" width="11.7109375" bestFit="1" customWidth="1"/>
    <col min="13068" max="13068" width="1.7109375" customWidth="1"/>
    <col min="13315" max="13315" width="8.85546875" customWidth="1"/>
    <col min="13316" max="13316" width="16.42578125" customWidth="1"/>
    <col min="13317" max="13317" width="10.42578125" customWidth="1"/>
    <col min="13318" max="13318" width="13.28515625" customWidth="1"/>
    <col min="13319" max="13319" width="12.28515625" customWidth="1"/>
    <col min="13320" max="13320" width="17.42578125" customWidth="1"/>
    <col min="13321" max="13321" width="16.42578125" customWidth="1"/>
    <col min="13322" max="13322" width="1.5703125" customWidth="1"/>
    <col min="13323" max="13323" width="11.7109375" bestFit="1" customWidth="1"/>
    <col min="13324" max="13324" width="1.7109375" customWidth="1"/>
    <col min="13571" max="13571" width="8.85546875" customWidth="1"/>
    <col min="13572" max="13572" width="16.42578125" customWidth="1"/>
    <col min="13573" max="13573" width="10.42578125" customWidth="1"/>
    <col min="13574" max="13574" width="13.28515625" customWidth="1"/>
    <col min="13575" max="13575" width="12.28515625" customWidth="1"/>
    <col min="13576" max="13576" width="17.42578125" customWidth="1"/>
    <col min="13577" max="13577" width="16.42578125" customWidth="1"/>
    <col min="13578" max="13578" width="1.5703125" customWidth="1"/>
    <col min="13579" max="13579" width="11.7109375" bestFit="1" customWidth="1"/>
    <col min="13580" max="13580" width="1.7109375" customWidth="1"/>
    <col min="13827" max="13827" width="8.85546875" customWidth="1"/>
    <col min="13828" max="13828" width="16.42578125" customWidth="1"/>
    <col min="13829" max="13829" width="10.42578125" customWidth="1"/>
    <col min="13830" max="13830" width="13.28515625" customWidth="1"/>
    <col min="13831" max="13831" width="12.28515625" customWidth="1"/>
    <col min="13832" max="13832" width="17.42578125" customWidth="1"/>
    <col min="13833" max="13833" width="16.42578125" customWidth="1"/>
    <col min="13834" max="13834" width="1.5703125" customWidth="1"/>
    <col min="13835" max="13835" width="11.7109375" bestFit="1" customWidth="1"/>
    <col min="13836" max="13836" width="1.7109375" customWidth="1"/>
    <col min="14083" max="14083" width="8.85546875" customWidth="1"/>
    <col min="14084" max="14084" width="16.42578125" customWidth="1"/>
    <col min="14085" max="14085" width="10.42578125" customWidth="1"/>
    <col min="14086" max="14086" width="13.28515625" customWidth="1"/>
    <col min="14087" max="14087" width="12.28515625" customWidth="1"/>
    <col min="14088" max="14088" width="17.42578125" customWidth="1"/>
    <col min="14089" max="14089" width="16.42578125" customWidth="1"/>
    <col min="14090" max="14090" width="1.5703125" customWidth="1"/>
    <col min="14091" max="14091" width="11.7109375" bestFit="1" customWidth="1"/>
    <col min="14092" max="14092" width="1.7109375" customWidth="1"/>
    <col min="14339" max="14339" width="8.85546875" customWidth="1"/>
    <col min="14340" max="14340" width="16.42578125" customWidth="1"/>
    <col min="14341" max="14341" width="10.42578125" customWidth="1"/>
    <col min="14342" max="14342" width="13.28515625" customWidth="1"/>
    <col min="14343" max="14343" width="12.28515625" customWidth="1"/>
    <col min="14344" max="14344" width="17.42578125" customWidth="1"/>
    <col min="14345" max="14345" width="16.42578125" customWidth="1"/>
    <col min="14346" max="14346" width="1.5703125" customWidth="1"/>
    <col min="14347" max="14347" width="11.7109375" bestFit="1" customWidth="1"/>
    <col min="14348" max="14348" width="1.7109375" customWidth="1"/>
    <col min="14595" max="14595" width="8.85546875" customWidth="1"/>
    <col min="14596" max="14596" width="16.42578125" customWidth="1"/>
    <col min="14597" max="14597" width="10.42578125" customWidth="1"/>
    <col min="14598" max="14598" width="13.28515625" customWidth="1"/>
    <col min="14599" max="14599" width="12.28515625" customWidth="1"/>
    <col min="14600" max="14600" width="17.42578125" customWidth="1"/>
    <col min="14601" max="14601" width="16.42578125" customWidth="1"/>
    <col min="14602" max="14602" width="1.5703125" customWidth="1"/>
    <col min="14603" max="14603" width="11.7109375" bestFit="1" customWidth="1"/>
    <col min="14604" max="14604" width="1.7109375" customWidth="1"/>
    <col min="14851" max="14851" width="8.85546875" customWidth="1"/>
    <col min="14852" max="14852" width="16.42578125" customWidth="1"/>
    <col min="14853" max="14853" width="10.42578125" customWidth="1"/>
    <col min="14854" max="14854" width="13.28515625" customWidth="1"/>
    <col min="14855" max="14855" width="12.28515625" customWidth="1"/>
    <col min="14856" max="14856" width="17.42578125" customWidth="1"/>
    <col min="14857" max="14857" width="16.42578125" customWidth="1"/>
    <col min="14858" max="14858" width="1.5703125" customWidth="1"/>
    <col min="14859" max="14859" width="11.7109375" bestFit="1" customWidth="1"/>
    <col min="14860" max="14860" width="1.7109375" customWidth="1"/>
    <col min="15107" max="15107" width="8.85546875" customWidth="1"/>
    <col min="15108" max="15108" width="16.42578125" customWidth="1"/>
    <col min="15109" max="15109" width="10.42578125" customWidth="1"/>
    <col min="15110" max="15110" width="13.28515625" customWidth="1"/>
    <col min="15111" max="15111" width="12.28515625" customWidth="1"/>
    <col min="15112" max="15112" width="17.42578125" customWidth="1"/>
    <col min="15113" max="15113" width="16.42578125" customWidth="1"/>
    <col min="15114" max="15114" width="1.5703125" customWidth="1"/>
    <col min="15115" max="15115" width="11.7109375" bestFit="1" customWidth="1"/>
    <col min="15116" max="15116" width="1.7109375" customWidth="1"/>
    <col min="15363" max="15363" width="8.85546875" customWidth="1"/>
    <col min="15364" max="15364" width="16.42578125" customWidth="1"/>
    <col min="15365" max="15365" width="10.42578125" customWidth="1"/>
    <col min="15366" max="15366" width="13.28515625" customWidth="1"/>
    <col min="15367" max="15367" width="12.28515625" customWidth="1"/>
    <col min="15368" max="15368" width="17.42578125" customWidth="1"/>
    <col min="15369" max="15369" width="16.42578125" customWidth="1"/>
    <col min="15370" max="15370" width="1.5703125" customWidth="1"/>
    <col min="15371" max="15371" width="11.7109375" bestFit="1" customWidth="1"/>
    <col min="15372" max="15372" width="1.7109375" customWidth="1"/>
    <col min="15619" max="15619" width="8.85546875" customWidth="1"/>
    <col min="15620" max="15620" width="16.42578125" customWidth="1"/>
    <col min="15621" max="15621" width="10.42578125" customWidth="1"/>
    <col min="15622" max="15622" width="13.28515625" customWidth="1"/>
    <col min="15623" max="15623" width="12.28515625" customWidth="1"/>
    <col min="15624" max="15624" width="17.42578125" customWidth="1"/>
    <col min="15625" max="15625" width="16.42578125" customWidth="1"/>
    <col min="15626" max="15626" width="1.5703125" customWidth="1"/>
    <col min="15627" max="15627" width="11.7109375" bestFit="1" customWidth="1"/>
    <col min="15628" max="15628" width="1.7109375" customWidth="1"/>
    <col min="15875" max="15875" width="8.85546875" customWidth="1"/>
    <col min="15876" max="15876" width="16.42578125" customWidth="1"/>
    <col min="15877" max="15877" width="10.42578125" customWidth="1"/>
    <col min="15878" max="15878" width="13.28515625" customWidth="1"/>
    <col min="15879" max="15879" width="12.28515625" customWidth="1"/>
    <col min="15880" max="15880" width="17.42578125" customWidth="1"/>
    <col min="15881" max="15881" width="16.42578125" customWidth="1"/>
    <col min="15882" max="15882" width="1.5703125" customWidth="1"/>
    <col min="15883" max="15883" width="11.7109375" bestFit="1" customWidth="1"/>
    <col min="15884" max="15884" width="1.7109375" customWidth="1"/>
    <col min="16131" max="16131" width="8.85546875" customWidth="1"/>
    <col min="16132" max="16132" width="16.42578125" customWidth="1"/>
    <col min="16133" max="16133" width="10.42578125" customWidth="1"/>
    <col min="16134" max="16134" width="13.28515625" customWidth="1"/>
    <col min="16135" max="16135" width="12.28515625" customWidth="1"/>
    <col min="16136" max="16136" width="17.42578125" customWidth="1"/>
    <col min="16137" max="16137" width="16.42578125" customWidth="1"/>
    <col min="16138" max="16138" width="1.5703125" customWidth="1"/>
    <col min="16139" max="16139" width="11.7109375" bestFit="1" customWidth="1"/>
    <col min="16140" max="16140" width="1.710937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4" spans="1:13" x14ac:dyDescent="0.25">
      <c r="A4" t="s">
        <v>3</v>
      </c>
    </row>
    <row r="6" spans="1:13" ht="15.75" x14ac:dyDescent="0.25">
      <c r="A6" s="1"/>
      <c r="B6" s="1"/>
      <c r="C6" s="1"/>
      <c r="D6" s="1" t="s">
        <v>4</v>
      </c>
      <c r="E6" s="1"/>
      <c r="F6" s="1"/>
    </row>
    <row r="8" spans="1:13" x14ac:dyDescent="0.25">
      <c r="A8" t="s">
        <v>5</v>
      </c>
    </row>
    <row r="9" spans="1:13" x14ac:dyDescent="0.25">
      <c r="D9" s="2">
        <v>45474</v>
      </c>
      <c r="F9" s="2">
        <v>45474</v>
      </c>
      <c r="H9" s="2">
        <v>45839</v>
      </c>
      <c r="I9" s="2"/>
      <c r="J9" s="2"/>
      <c r="L9" s="3"/>
      <c r="M9" s="3"/>
    </row>
    <row r="10" spans="1:13" x14ac:dyDescent="0.25">
      <c r="D10" s="2">
        <v>45473</v>
      </c>
      <c r="F10" s="2">
        <v>45838</v>
      </c>
      <c r="H10" s="2">
        <v>46203</v>
      </c>
      <c r="I10" s="2"/>
      <c r="J10" s="2"/>
      <c r="L10" s="3"/>
      <c r="M10" s="3"/>
    </row>
    <row r="11" spans="1:13" x14ac:dyDescent="0.25">
      <c r="A11" s="4" t="s">
        <v>6</v>
      </c>
    </row>
    <row r="12" spans="1:13" x14ac:dyDescent="0.25">
      <c r="A12" t="s">
        <v>7</v>
      </c>
      <c r="D12" s="5">
        <f>31.9+0.55</f>
        <v>32.449999999999996</v>
      </c>
      <c r="E12" s="5"/>
      <c r="F12" s="5">
        <f>31.9+0.55+0.55</f>
        <v>32.999999999999993</v>
      </c>
      <c r="H12" s="5">
        <f>33+0.55</f>
        <v>33.549999999999997</v>
      </c>
      <c r="I12" s="5"/>
      <c r="J12" s="5"/>
      <c r="L12" s="6"/>
      <c r="M12" s="6"/>
    </row>
    <row r="13" spans="1:13" x14ac:dyDescent="0.25">
      <c r="A13" t="s">
        <v>8</v>
      </c>
      <c r="D13" s="5">
        <f>32.45+(D12*0.1)</f>
        <v>35.695</v>
      </c>
      <c r="E13" s="5"/>
      <c r="F13" s="5">
        <f>F12+(F12*0.1)</f>
        <v>36.29999999999999</v>
      </c>
      <c r="H13" s="5">
        <f>33.55+(H12*0.1)</f>
        <v>36.904999999999994</v>
      </c>
      <c r="I13" s="5"/>
      <c r="J13" s="5"/>
      <c r="L13" s="6"/>
      <c r="M13" s="6"/>
    </row>
    <row r="14" spans="1:13" x14ac:dyDescent="0.25">
      <c r="A14" t="s">
        <v>9</v>
      </c>
      <c r="D14" s="5">
        <f>D12+1</f>
        <v>33.449999999999996</v>
      </c>
      <c r="E14" s="5"/>
      <c r="F14" s="5">
        <f>F12+1</f>
        <v>33.999999999999993</v>
      </c>
      <c r="H14" s="5">
        <f>H12+1</f>
        <v>34.549999999999997</v>
      </c>
      <c r="I14" s="5"/>
      <c r="J14" s="5"/>
      <c r="L14" s="6"/>
      <c r="M14" s="6"/>
    </row>
    <row r="15" spans="1:13" x14ac:dyDescent="0.25">
      <c r="A15" t="s">
        <v>10</v>
      </c>
      <c r="D15" s="5">
        <f>D12+1</f>
        <v>33.449999999999996</v>
      </c>
      <c r="E15" s="5"/>
      <c r="F15" s="5">
        <f>F12+1</f>
        <v>33.999999999999993</v>
      </c>
      <c r="H15" s="5">
        <f>H12+1</f>
        <v>34.549999999999997</v>
      </c>
      <c r="I15" s="5"/>
      <c r="J15" s="5"/>
      <c r="L15" s="6"/>
      <c r="M15" s="6"/>
    </row>
    <row r="16" spans="1:13" x14ac:dyDescent="0.25">
      <c r="A16" t="s">
        <v>11</v>
      </c>
      <c r="D16" s="5">
        <f>D15+(D15*0.1)</f>
        <v>36.794999999999995</v>
      </c>
      <c r="E16" s="5"/>
      <c r="F16" s="5">
        <f>F15+(F15*0.1)</f>
        <v>37.399999999999991</v>
      </c>
      <c r="H16" s="5">
        <f>H15+(H15*0.1)</f>
        <v>38.004999999999995</v>
      </c>
      <c r="I16" s="5"/>
      <c r="J16" s="5"/>
      <c r="L16" s="6"/>
      <c r="M16" s="6"/>
    </row>
    <row r="17" spans="1:14" x14ac:dyDescent="0.25">
      <c r="A17" t="s">
        <v>12</v>
      </c>
      <c r="D17" s="5">
        <f>D12+(D12*0.1)+1</f>
        <v>36.694999999999993</v>
      </c>
      <c r="E17" s="5"/>
      <c r="F17" s="5">
        <f>F12+(F12*0.1)+1</f>
        <v>37.29999999999999</v>
      </c>
      <c r="H17" s="5">
        <f>H12+(H12*0.1)+1</f>
        <v>37.904999999999994</v>
      </c>
      <c r="I17" s="5"/>
      <c r="J17" s="5"/>
      <c r="L17" s="6"/>
      <c r="M17" s="6"/>
      <c r="N17" s="6"/>
    </row>
    <row r="18" spans="1:14" x14ac:dyDescent="0.25">
      <c r="A18" t="s">
        <v>13</v>
      </c>
      <c r="D18" s="5">
        <f>32.45+1</f>
        <v>33.450000000000003</v>
      </c>
      <c r="E18" s="5"/>
      <c r="F18" s="5">
        <f>F12+1</f>
        <v>33.999999999999993</v>
      </c>
      <c r="H18" s="5">
        <f>H12+1</f>
        <v>34.549999999999997</v>
      </c>
      <c r="I18" s="5"/>
      <c r="J18" s="5"/>
      <c r="L18" s="6"/>
      <c r="M18" s="6"/>
    </row>
    <row r="19" spans="1:14" x14ac:dyDescent="0.25">
      <c r="C19" s="5"/>
      <c r="D19" s="5"/>
      <c r="E19" s="5"/>
      <c r="F19" s="5"/>
      <c r="H19" s="5"/>
      <c r="I19" s="5"/>
      <c r="J19" s="5"/>
      <c r="L19" s="6"/>
      <c r="M19" s="6"/>
      <c r="N19" s="6"/>
    </row>
    <row r="20" spans="1:14" x14ac:dyDescent="0.25">
      <c r="A20" s="4" t="s">
        <v>14</v>
      </c>
      <c r="D20" s="5"/>
      <c r="E20" s="5"/>
      <c r="F20" s="5"/>
      <c r="H20" s="5"/>
      <c r="I20" s="5"/>
      <c r="J20" s="5"/>
      <c r="L20" s="6"/>
      <c r="M20" s="6"/>
    </row>
    <row r="21" spans="1:14" x14ac:dyDescent="0.25">
      <c r="A21" t="s">
        <v>15</v>
      </c>
      <c r="D21" s="5">
        <v>26.92</v>
      </c>
      <c r="E21" s="5"/>
      <c r="F21" s="5">
        <v>26.92</v>
      </c>
      <c r="H21" s="5">
        <v>26.92</v>
      </c>
      <c r="I21" s="5"/>
      <c r="J21" s="5"/>
      <c r="L21" s="6"/>
      <c r="M21" s="6"/>
    </row>
    <row r="22" spans="1:14" x14ac:dyDescent="0.25">
      <c r="A22" t="s">
        <v>16</v>
      </c>
      <c r="D22" s="5">
        <f>6+0.5+0.75</f>
        <v>7.25</v>
      </c>
      <c r="E22" s="5"/>
      <c r="F22" s="5">
        <f>6+0.5+0.75</f>
        <v>7.25</v>
      </c>
      <c r="G22" s="6"/>
      <c r="H22" s="5">
        <f>6+0.5+0.75</f>
        <v>7.25</v>
      </c>
      <c r="I22" s="5"/>
      <c r="J22" s="5"/>
      <c r="K22" s="6"/>
      <c r="L22" s="6"/>
      <c r="M22" s="6"/>
    </row>
    <row r="23" spans="1:14" x14ac:dyDescent="0.25">
      <c r="D23" s="5"/>
      <c r="E23" s="5"/>
      <c r="F23" s="5"/>
      <c r="G23" s="6"/>
      <c r="H23" s="5"/>
      <c r="I23" s="5"/>
      <c r="J23" s="5"/>
      <c r="K23" s="6"/>
      <c r="L23" s="6"/>
      <c r="M23" s="6"/>
    </row>
    <row r="24" spans="1:14" x14ac:dyDescent="0.25">
      <c r="A24" s="7" t="s">
        <v>17</v>
      </c>
      <c r="B24" t="s">
        <v>18</v>
      </c>
      <c r="E24" s="5"/>
      <c r="F24" s="5"/>
      <c r="I24" s="5"/>
      <c r="J24" s="5"/>
      <c r="K24" s="5"/>
    </row>
    <row r="25" spans="1:14" x14ac:dyDescent="0.25">
      <c r="A25" s="7"/>
      <c r="E25" s="5"/>
      <c r="F25" s="5"/>
      <c r="K25" s="8"/>
    </row>
    <row r="26" spans="1:14" x14ac:dyDescent="0.25">
      <c r="A26" s="23" t="s">
        <v>19</v>
      </c>
      <c r="B26" s="13"/>
      <c r="C26" s="13"/>
      <c r="D26" s="25">
        <f>66.07*0.045</f>
        <v>2.9731499999999995</v>
      </c>
      <c r="E26" s="5"/>
      <c r="F26" s="25">
        <f>66.62*0.045</f>
        <v>2.9979</v>
      </c>
      <c r="H26" s="25">
        <f>67.72*0.045</f>
        <v>3.0473999999999997</v>
      </c>
      <c r="I26" s="5">
        <f>H12+H21+H22</f>
        <v>67.72</v>
      </c>
      <c r="K26" s="5"/>
      <c r="L26" s="6"/>
    </row>
    <row r="27" spans="1:14" x14ac:dyDescent="0.25">
      <c r="A27" t="s">
        <v>20</v>
      </c>
      <c r="D27" s="9" t="s">
        <v>21</v>
      </c>
      <c r="E27" s="5"/>
      <c r="F27" s="9" t="s">
        <v>21</v>
      </c>
      <c r="G27" s="10"/>
      <c r="H27" s="9" t="s">
        <v>21</v>
      </c>
      <c r="I27" s="9"/>
      <c r="J27" s="9"/>
      <c r="K27" s="10"/>
      <c r="L27" s="6"/>
      <c r="M27" s="6"/>
    </row>
    <row r="28" spans="1:14" x14ac:dyDescent="0.25">
      <c r="D28" s="11" t="s">
        <v>54</v>
      </c>
      <c r="E28" s="5"/>
      <c r="F28" s="11" t="s">
        <v>57</v>
      </c>
      <c r="G28" s="11"/>
      <c r="H28" s="11" t="s">
        <v>68</v>
      </c>
      <c r="I28" s="24"/>
      <c r="J28" s="11"/>
      <c r="K28" s="11"/>
      <c r="M28" s="5"/>
    </row>
    <row r="29" spans="1:14" x14ac:dyDescent="0.25">
      <c r="D29" s="11"/>
      <c r="E29" s="5"/>
      <c r="F29" s="11"/>
      <c r="G29" s="11"/>
      <c r="H29" s="11"/>
      <c r="I29" s="24"/>
      <c r="J29" s="11"/>
      <c r="K29" s="11"/>
      <c r="M29" s="5"/>
    </row>
    <row r="30" spans="1:14" x14ac:dyDescent="0.25">
      <c r="A30" t="s">
        <v>50</v>
      </c>
      <c r="D30" s="5">
        <f>0.3+0.1+0.25+0.2+0.15+0.15+0.25+0.15</f>
        <v>1.5499999999999998</v>
      </c>
      <c r="E30" s="5"/>
      <c r="F30" s="5">
        <f>0.3+0.1+0.25+0.2+0.15+0.15+0.25+0.15+0.15</f>
        <v>1.6999999999999997</v>
      </c>
      <c r="H30" s="5">
        <f>0.3+0.1+0.25+0.2+0.15+0.15+0.25+0.15+0.15</f>
        <v>1.6999999999999997</v>
      </c>
      <c r="I30" s="5"/>
      <c r="J30" s="5"/>
      <c r="L30" s="6"/>
      <c r="M30" s="6"/>
    </row>
    <row r="31" spans="1:14" x14ac:dyDescent="0.25">
      <c r="A31" t="s">
        <v>49</v>
      </c>
      <c r="D31" s="5">
        <v>0.2</v>
      </c>
      <c r="E31" s="5"/>
      <c r="F31" s="5">
        <v>0.2</v>
      </c>
      <c r="G31" s="6"/>
      <c r="H31" s="5">
        <v>0.2</v>
      </c>
      <c r="I31" s="5"/>
      <c r="J31" s="5"/>
      <c r="K31" s="6"/>
      <c r="L31" s="6"/>
      <c r="M31" s="6"/>
    </row>
    <row r="32" spans="1:14" x14ac:dyDescent="0.25">
      <c r="A32" t="s">
        <v>23</v>
      </c>
      <c r="D32" s="5">
        <v>0.05</v>
      </c>
      <c r="E32" s="5"/>
      <c r="F32" s="5">
        <v>0.05</v>
      </c>
      <c r="H32" s="5">
        <v>0.05</v>
      </c>
    </row>
    <row r="33" spans="1:14" x14ac:dyDescent="0.25">
      <c r="A33" s="9" t="s">
        <v>24</v>
      </c>
      <c r="D33" s="6"/>
      <c r="E33" s="5"/>
      <c r="F33" s="5"/>
      <c r="H33" s="5"/>
    </row>
    <row r="34" spans="1:14" x14ac:dyDescent="0.25">
      <c r="A34" s="12" t="s">
        <v>25</v>
      </c>
      <c r="B34" s="12"/>
      <c r="C34" s="12"/>
      <c r="D34" s="12"/>
      <c r="F34" s="12" t="s">
        <v>26</v>
      </c>
    </row>
    <row r="36" spans="1:14" x14ac:dyDescent="0.25">
      <c r="A36" s="13" t="s">
        <v>65</v>
      </c>
      <c r="B36" s="13"/>
      <c r="C36" s="13"/>
      <c r="D36" s="13"/>
    </row>
    <row r="37" spans="1:14" x14ac:dyDescent="0.25">
      <c r="C37" s="14"/>
      <c r="D37" s="14" t="s">
        <v>27</v>
      </c>
      <c r="E37" s="14"/>
      <c r="F37" s="14"/>
      <c r="G37" s="14" t="s">
        <v>28</v>
      </c>
      <c r="H37" s="15"/>
      <c r="I37" s="14"/>
      <c r="J37" s="14"/>
      <c r="K37" s="14"/>
      <c r="M37" s="14"/>
    </row>
    <row r="38" spans="1:14" x14ac:dyDescent="0.25">
      <c r="C38" s="16" t="s">
        <v>29</v>
      </c>
      <c r="D38" s="16" t="s">
        <v>30</v>
      </c>
      <c r="E38" s="16" t="s">
        <v>22</v>
      </c>
      <c r="F38" s="16" t="s">
        <v>16</v>
      </c>
      <c r="G38" s="16" t="s">
        <v>31</v>
      </c>
      <c r="H38" s="17" t="s">
        <v>32</v>
      </c>
      <c r="I38" s="16"/>
      <c r="J38" s="16"/>
      <c r="K38" s="16"/>
      <c r="M38" s="14"/>
    </row>
    <row r="39" spans="1:14" x14ac:dyDescent="0.25">
      <c r="C39" s="14"/>
      <c r="D39" s="14"/>
      <c r="E39" s="14"/>
      <c r="F39" s="14"/>
      <c r="G39" s="14"/>
      <c r="H39" s="14"/>
      <c r="I39" s="14"/>
      <c r="J39" s="14"/>
      <c r="K39" s="14"/>
      <c r="M39" s="14"/>
    </row>
    <row r="40" spans="1:14" x14ac:dyDescent="0.25">
      <c r="A40" t="s">
        <v>33</v>
      </c>
      <c r="C40" s="5">
        <f>33.55*0.6</f>
        <v>20.13</v>
      </c>
      <c r="D40" s="5">
        <f>9.01+0.5-1.35+0.45+0.5</f>
        <v>9.11</v>
      </c>
      <c r="E40" s="5">
        <v>0.1</v>
      </c>
      <c r="F40" s="5">
        <v>0</v>
      </c>
      <c r="G40" s="5">
        <v>0</v>
      </c>
      <c r="H40" s="5">
        <f t="shared" ref="H40:H45" si="0">C40+D40+F40</f>
        <v>29.24</v>
      </c>
      <c r="I40" s="18">
        <f>H40*0.01</f>
        <v>0.29239999999999999</v>
      </c>
      <c r="J40" s="5"/>
      <c r="K40" s="5"/>
      <c r="M40" s="18">
        <f t="shared" ref="M40:M45" si="1">H40*1%</f>
        <v>0.29239999999999999</v>
      </c>
      <c r="N40" s="5"/>
    </row>
    <row r="41" spans="1:14" x14ac:dyDescent="0.25">
      <c r="A41" t="s">
        <v>34</v>
      </c>
      <c r="C41" s="5">
        <f>33.55*0.65</f>
        <v>21.807499999999997</v>
      </c>
      <c r="D41" s="5">
        <f>10.86+0.55+0.55</f>
        <v>11.96</v>
      </c>
      <c r="E41" s="5">
        <v>0.1</v>
      </c>
      <c r="F41" s="5">
        <v>0</v>
      </c>
      <c r="G41" s="5">
        <v>0</v>
      </c>
      <c r="H41" s="5">
        <f t="shared" si="0"/>
        <v>33.767499999999998</v>
      </c>
      <c r="I41" s="18">
        <f t="shared" ref="I41:I45" si="2">H41*0.01</f>
        <v>0.337675</v>
      </c>
      <c r="J41" s="5"/>
      <c r="K41" s="5"/>
      <c r="M41" s="18">
        <f t="shared" si="1"/>
        <v>0.337675</v>
      </c>
    </row>
    <row r="42" spans="1:14" x14ac:dyDescent="0.25">
      <c r="A42" t="s">
        <v>35</v>
      </c>
      <c r="C42" s="5">
        <f>33.55*0.7</f>
        <v>23.484999999999996</v>
      </c>
      <c r="D42" s="5">
        <f>9.86+0.3</f>
        <v>10.16</v>
      </c>
      <c r="E42" s="5">
        <v>0.1</v>
      </c>
      <c r="F42" s="5">
        <f>1.3+0.3</f>
        <v>1.6</v>
      </c>
      <c r="G42" s="5">
        <f>0.22+(0.22*0.025)</f>
        <v>0.22550000000000001</v>
      </c>
      <c r="H42" s="5">
        <f t="shared" si="0"/>
        <v>35.244999999999997</v>
      </c>
      <c r="I42" s="18">
        <f t="shared" si="2"/>
        <v>0.35244999999999999</v>
      </c>
      <c r="J42" s="5"/>
      <c r="K42" s="5"/>
      <c r="M42" s="18">
        <f t="shared" si="1"/>
        <v>0.35244999999999999</v>
      </c>
    </row>
    <row r="43" spans="1:14" x14ac:dyDescent="0.25">
      <c r="A43" t="s">
        <v>36</v>
      </c>
      <c r="C43" s="5">
        <f>33.55*0.75</f>
        <v>25.162499999999998</v>
      </c>
      <c r="D43" s="5">
        <f>11.61+0.33+0.33</f>
        <v>12.27</v>
      </c>
      <c r="E43" s="5">
        <v>0.1</v>
      </c>
      <c r="F43" s="5">
        <f>2.33+0.33</f>
        <v>2.66</v>
      </c>
      <c r="G43" s="5">
        <f>0.32+(0.32*0.03)</f>
        <v>0.3296</v>
      </c>
      <c r="H43" s="5">
        <f t="shared" si="0"/>
        <v>40.092500000000001</v>
      </c>
      <c r="I43" s="18">
        <f t="shared" si="2"/>
        <v>0.40092500000000003</v>
      </c>
      <c r="J43" s="5"/>
      <c r="K43" s="5"/>
      <c r="M43" s="18">
        <f t="shared" si="1"/>
        <v>0.40092500000000003</v>
      </c>
    </row>
    <row r="44" spans="1:14" x14ac:dyDescent="0.25">
      <c r="A44" t="s">
        <v>37</v>
      </c>
      <c r="C44" s="5">
        <f>33.55*0.8</f>
        <v>26.84</v>
      </c>
      <c r="D44" s="5">
        <f>12.55+0.38+0.38</f>
        <v>13.310000000000002</v>
      </c>
      <c r="E44" s="5">
        <v>0.15</v>
      </c>
      <c r="F44" s="5">
        <f>3.38+0.38</f>
        <v>3.76</v>
      </c>
      <c r="G44" s="5">
        <f>0.37+(0.37*0.035)</f>
        <v>0.38295000000000001</v>
      </c>
      <c r="H44" s="5">
        <f t="shared" si="0"/>
        <v>43.910000000000004</v>
      </c>
      <c r="I44" s="18">
        <f t="shared" si="2"/>
        <v>0.43910000000000005</v>
      </c>
      <c r="J44" s="5"/>
      <c r="K44" s="5"/>
      <c r="M44" s="18">
        <f t="shared" si="1"/>
        <v>0.43910000000000005</v>
      </c>
    </row>
    <row r="45" spans="1:14" x14ac:dyDescent="0.25">
      <c r="A45" t="s">
        <v>38</v>
      </c>
      <c r="C45" s="5">
        <f>33.55*0.85</f>
        <v>28.517499999999998</v>
      </c>
      <c r="D45" s="5">
        <f>14.64+0.43+0.43</f>
        <v>15.5</v>
      </c>
      <c r="E45" s="5">
        <v>0.15</v>
      </c>
      <c r="F45" s="5">
        <f>4.43+0.43</f>
        <v>4.8599999999999994</v>
      </c>
      <c r="G45" s="5">
        <f>0.44+(0.44*0.04)</f>
        <v>0.45760000000000001</v>
      </c>
      <c r="H45" s="5">
        <f t="shared" si="0"/>
        <v>48.877499999999998</v>
      </c>
      <c r="I45" s="18">
        <f t="shared" si="2"/>
        <v>0.48877500000000002</v>
      </c>
      <c r="J45" s="5"/>
      <c r="K45" s="5"/>
      <c r="M45" s="18">
        <f t="shared" si="1"/>
        <v>0.48877500000000002</v>
      </c>
    </row>
    <row r="46" spans="1:14" x14ac:dyDescent="0.25">
      <c r="M46" s="19"/>
    </row>
    <row r="47" spans="1:14" x14ac:dyDescent="0.25">
      <c r="A47" s="13" t="s">
        <v>61</v>
      </c>
      <c r="B47" s="13"/>
      <c r="C47" s="13"/>
      <c r="D47" s="13"/>
    </row>
    <row r="48" spans="1:14" x14ac:dyDescent="0.25">
      <c r="C48" s="14"/>
      <c r="D48" s="14" t="s">
        <v>27</v>
      </c>
      <c r="E48" s="14"/>
      <c r="F48" s="14"/>
      <c r="G48" s="14" t="s">
        <v>28</v>
      </c>
      <c r="H48" s="15"/>
      <c r="I48" s="14"/>
      <c r="J48" s="14"/>
      <c r="K48" s="14"/>
      <c r="M48" s="14"/>
    </row>
    <row r="49" spans="1:14" x14ac:dyDescent="0.25">
      <c r="C49" s="16" t="s">
        <v>29</v>
      </c>
      <c r="D49" s="16" t="s">
        <v>30</v>
      </c>
      <c r="E49" s="16" t="s">
        <v>22</v>
      </c>
      <c r="F49" s="16" t="s">
        <v>16</v>
      </c>
      <c r="G49" s="16" t="s">
        <v>31</v>
      </c>
      <c r="H49" s="17" t="s">
        <v>32</v>
      </c>
      <c r="I49" s="16"/>
      <c r="J49" s="16"/>
      <c r="K49" s="16"/>
      <c r="M49" s="14"/>
    </row>
    <row r="50" spans="1:14" x14ac:dyDescent="0.25">
      <c r="C50" s="14"/>
      <c r="D50" s="14"/>
      <c r="E50" s="14"/>
      <c r="F50" s="14"/>
      <c r="G50" s="14"/>
      <c r="H50" s="14"/>
      <c r="I50" s="14"/>
      <c r="J50" s="14"/>
      <c r="K50" s="14"/>
      <c r="M50" s="14"/>
    </row>
    <row r="51" spans="1:14" x14ac:dyDescent="0.25">
      <c r="A51" t="s">
        <v>33</v>
      </c>
      <c r="C51" s="5">
        <f>33*0.6</f>
        <v>19.8</v>
      </c>
      <c r="D51" s="5">
        <f>9.01+0.5-1.35+0.45+0.5</f>
        <v>9.11</v>
      </c>
      <c r="E51" s="5">
        <v>0.1</v>
      </c>
      <c r="F51" s="5">
        <v>0</v>
      </c>
      <c r="G51" s="5">
        <v>0</v>
      </c>
      <c r="H51" s="5">
        <f t="shared" ref="H51:H56" si="3">C51+D51+F51</f>
        <v>28.91</v>
      </c>
      <c r="I51" s="18"/>
      <c r="J51" s="5"/>
      <c r="K51" s="5"/>
      <c r="M51" s="18">
        <f t="shared" ref="M51:M56" si="4">H51*1%</f>
        <v>0.28910000000000002</v>
      </c>
      <c r="N51" s="5"/>
    </row>
    <row r="52" spans="1:14" x14ac:dyDescent="0.25">
      <c r="A52" t="s">
        <v>34</v>
      </c>
      <c r="C52" s="5">
        <f>33*0.65</f>
        <v>21.45</v>
      </c>
      <c r="D52" s="5">
        <f>10.86+0.55+0.55</f>
        <v>11.96</v>
      </c>
      <c r="E52" s="5">
        <v>0.1</v>
      </c>
      <c r="F52" s="5">
        <v>0</v>
      </c>
      <c r="G52" s="5">
        <v>0</v>
      </c>
      <c r="H52" s="5">
        <f t="shared" si="3"/>
        <v>33.409999999999997</v>
      </c>
      <c r="I52" s="18"/>
      <c r="J52" s="5"/>
      <c r="K52" s="5"/>
      <c r="M52" s="18">
        <f t="shared" si="4"/>
        <v>0.33409999999999995</v>
      </c>
    </row>
    <row r="53" spans="1:14" x14ac:dyDescent="0.25">
      <c r="A53" t="s">
        <v>35</v>
      </c>
      <c r="C53" s="5">
        <f>33*0.7</f>
        <v>23.099999999999998</v>
      </c>
      <c r="D53" s="5">
        <f>9.86+0.3</f>
        <v>10.16</v>
      </c>
      <c r="E53" s="5">
        <v>0.1</v>
      </c>
      <c r="F53" s="5">
        <f>1.3+0.3</f>
        <v>1.6</v>
      </c>
      <c r="G53" s="5">
        <f>0.22+(0.22*0.025)</f>
        <v>0.22550000000000001</v>
      </c>
      <c r="H53" s="5">
        <f t="shared" si="3"/>
        <v>34.86</v>
      </c>
      <c r="I53" s="18"/>
      <c r="J53" s="5"/>
      <c r="K53" s="5"/>
      <c r="M53" s="18">
        <f t="shared" si="4"/>
        <v>0.34860000000000002</v>
      </c>
    </row>
    <row r="54" spans="1:14" x14ac:dyDescent="0.25">
      <c r="A54" t="s">
        <v>36</v>
      </c>
      <c r="C54" s="5">
        <f>33*0.75</f>
        <v>24.75</v>
      </c>
      <c r="D54" s="5">
        <f>11.61+0.33+0.33</f>
        <v>12.27</v>
      </c>
      <c r="E54" s="5">
        <v>0.1</v>
      </c>
      <c r="F54" s="5">
        <f>2.33+0.33</f>
        <v>2.66</v>
      </c>
      <c r="G54" s="5">
        <f>0.32+(0.32*0.03)</f>
        <v>0.3296</v>
      </c>
      <c r="H54" s="5">
        <f t="shared" si="3"/>
        <v>39.679999999999993</v>
      </c>
      <c r="I54" s="18"/>
      <c r="J54" s="5"/>
      <c r="K54" s="5"/>
      <c r="M54" s="18">
        <f t="shared" si="4"/>
        <v>0.39679999999999993</v>
      </c>
    </row>
    <row r="55" spans="1:14" x14ac:dyDescent="0.25">
      <c r="A55" t="s">
        <v>37</v>
      </c>
      <c r="C55" s="5">
        <f>33*0.8</f>
        <v>26.400000000000002</v>
      </c>
      <c r="D55" s="5">
        <f>12.55+0.38+0.38</f>
        <v>13.310000000000002</v>
      </c>
      <c r="E55" s="5">
        <v>0.15</v>
      </c>
      <c r="F55" s="5">
        <f>3.38+0.38</f>
        <v>3.76</v>
      </c>
      <c r="G55" s="5">
        <f>0.37+(0.37*0.035)</f>
        <v>0.38295000000000001</v>
      </c>
      <c r="H55" s="5">
        <f t="shared" si="3"/>
        <v>43.470000000000006</v>
      </c>
      <c r="I55" s="18"/>
      <c r="J55" s="5"/>
      <c r="K55" s="5"/>
      <c r="M55" s="18">
        <f t="shared" si="4"/>
        <v>0.43470000000000009</v>
      </c>
    </row>
    <row r="56" spans="1:14" x14ac:dyDescent="0.25">
      <c r="A56" t="s">
        <v>38</v>
      </c>
      <c r="C56" s="5">
        <f>33*0.85</f>
        <v>28.05</v>
      </c>
      <c r="D56" s="5">
        <f>14.64+0.43+0.43</f>
        <v>15.5</v>
      </c>
      <c r="E56" s="5">
        <v>0.15</v>
      </c>
      <c r="F56" s="5">
        <f>4.43+0.43</f>
        <v>4.8599999999999994</v>
      </c>
      <c r="G56" s="5">
        <f>0.44+(0.44*0.04)</f>
        <v>0.45760000000000001</v>
      </c>
      <c r="H56" s="5">
        <f t="shared" si="3"/>
        <v>48.41</v>
      </c>
      <c r="I56" s="18"/>
      <c r="J56" s="5"/>
      <c r="K56" s="5"/>
      <c r="M56" s="18">
        <f t="shared" si="4"/>
        <v>0.48409999999999997</v>
      </c>
    </row>
    <row r="57" spans="1:14" x14ac:dyDescent="0.25">
      <c r="H57" s="5"/>
    </row>
    <row r="58" spans="1:14" x14ac:dyDescent="0.25">
      <c r="C58" s="6"/>
    </row>
    <row r="59" spans="1:14" x14ac:dyDescent="0.25">
      <c r="C59" s="6"/>
      <c r="F59" s="5"/>
    </row>
    <row r="60" spans="1:14" x14ac:dyDescent="0.25">
      <c r="C60" s="6"/>
    </row>
    <row r="61" spans="1:14" x14ac:dyDescent="0.25">
      <c r="C61" s="6"/>
    </row>
    <row r="62" spans="1:14" x14ac:dyDescent="0.25">
      <c r="C62" s="6"/>
    </row>
    <row r="63" spans="1:14" x14ac:dyDescent="0.25">
      <c r="C63" s="6"/>
    </row>
    <row r="70" spans="2:2" x14ac:dyDescent="0.25"/>
  </sheetData>
  <sheetProtection algorithmName="SHA-512" hashValue="ksnHVteiEuse1XdNsrasyjc7hH3xZOSs3MKqd/mBOuylBSvROXfjHALOk+7cBZt7ELoPo+Oid6xlJWnJXauekw==" saltValue="FYxJJBPitrC5wUl+Tu8l2A==" spinCount="100000" sheet="1" objects="1" scenarios="1"/>
  <pageMargins left="0.45" right="0.45" top="0.75" bottom="0.25" header="0.3" footer="0.3"/>
  <pageSetup scale="85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487A-B8FD-4AA3-BC6C-352244771301}">
  <sheetPr codeName="Sheet2">
    <pageSetUpPr fitToPage="1"/>
  </sheetPr>
  <dimension ref="A1:M64"/>
  <sheetViews>
    <sheetView topLeftCell="A28" workbookViewId="0">
      <selection activeCell="C45" sqref="C45"/>
    </sheetView>
  </sheetViews>
  <sheetFormatPr defaultRowHeight="15" x14ac:dyDescent="0.25"/>
  <cols>
    <col min="3" max="3" width="11.140625" customWidth="1"/>
    <col min="4" max="4" width="12" customWidth="1"/>
    <col min="5" max="5" width="10.42578125" hidden="1" customWidth="1"/>
    <col min="6" max="6" width="12" bestFit="1" customWidth="1"/>
    <col min="7" max="7" width="13.5703125" customWidth="1"/>
    <col min="8" max="8" width="12.7109375" bestFit="1" customWidth="1"/>
    <col min="9" max="9" width="14.140625" customWidth="1"/>
    <col min="10" max="10" width="11.7109375" bestFit="1" customWidth="1"/>
    <col min="11" max="11" width="2.42578125" customWidth="1"/>
    <col min="12" max="12" width="12.5703125" bestFit="1" customWidth="1"/>
    <col min="259" max="259" width="11.140625" customWidth="1"/>
    <col min="260" max="260" width="12" customWidth="1"/>
    <col min="261" max="261" width="0" hidden="1" customWidth="1"/>
    <col min="262" max="262" width="12" bestFit="1" customWidth="1"/>
    <col min="263" max="263" width="13.5703125" customWidth="1"/>
    <col min="264" max="264" width="12.7109375" bestFit="1" customWidth="1"/>
    <col min="265" max="265" width="14.140625" customWidth="1"/>
    <col min="266" max="266" width="11.7109375" bestFit="1" customWidth="1"/>
    <col min="267" max="267" width="2.42578125" customWidth="1"/>
    <col min="268" max="268" width="12.5703125" bestFit="1" customWidth="1"/>
    <col min="515" max="515" width="11.140625" customWidth="1"/>
    <col min="516" max="516" width="12" customWidth="1"/>
    <col min="517" max="517" width="0" hidden="1" customWidth="1"/>
    <col min="518" max="518" width="12" bestFit="1" customWidth="1"/>
    <col min="519" max="519" width="13.5703125" customWidth="1"/>
    <col min="520" max="520" width="12.7109375" bestFit="1" customWidth="1"/>
    <col min="521" max="521" width="14.140625" customWidth="1"/>
    <col min="522" max="522" width="11.7109375" bestFit="1" customWidth="1"/>
    <col min="523" max="523" width="2.42578125" customWidth="1"/>
    <col min="524" max="524" width="12.5703125" bestFit="1" customWidth="1"/>
    <col min="771" max="771" width="11.140625" customWidth="1"/>
    <col min="772" max="772" width="12" customWidth="1"/>
    <col min="773" max="773" width="0" hidden="1" customWidth="1"/>
    <col min="774" max="774" width="12" bestFit="1" customWidth="1"/>
    <col min="775" max="775" width="13.5703125" customWidth="1"/>
    <col min="776" max="776" width="12.7109375" bestFit="1" customWidth="1"/>
    <col min="777" max="777" width="14.140625" customWidth="1"/>
    <col min="778" max="778" width="11.7109375" bestFit="1" customWidth="1"/>
    <col min="779" max="779" width="2.42578125" customWidth="1"/>
    <col min="780" max="780" width="12.5703125" bestFit="1" customWidth="1"/>
    <col min="1027" max="1027" width="11.140625" customWidth="1"/>
    <col min="1028" max="1028" width="12" customWidth="1"/>
    <col min="1029" max="1029" width="0" hidden="1" customWidth="1"/>
    <col min="1030" max="1030" width="12" bestFit="1" customWidth="1"/>
    <col min="1031" max="1031" width="13.5703125" customWidth="1"/>
    <col min="1032" max="1032" width="12.7109375" bestFit="1" customWidth="1"/>
    <col min="1033" max="1033" width="14.140625" customWidth="1"/>
    <col min="1034" max="1034" width="11.7109375" bestFit="1" customWidth="1"/>
    <col min="1035" max="1035" width="2.42578125" customWidth="1"/>
    <col min="1036" max="1036" width="12.5703125" bestFit="1" customWidth="1"/>
    <col min="1283" max="1283" width="11.140625" customWidth="1"/>
    <col min="1284" max="1284" width="12" customWidth="1"/>
    <col min="1285" max="1285" width="0" hidden="1" customWidth="1"/>
    <col min="1286" max="1286" width="12" bestFit="1" customWidth="1"/>
    <col min="1287" max="1287" width="13.5703125" customWidth="1"/>
    <col min="1288" max="1288" width="12.7109375" bestFit="1" customWidth="1"/>
    <col min="1289" max="1289" width="14.140625" customWidth="1"/>
    <col min="1290" max="1290" width="11.7109375" bestFit="1" customWidth="1"/>
    <col min="1291" max="1291" width="2.42578125" customWidth="1"/>
    <col min="1292" max="1292" width="12.5703125" bestFit="1" customWidth="1"/>
    <col min="1539" max="1539" width="11.140625" customWidth="1"/>
    <col min="1540" max="1540" width="12" customWidth="1"/>
    <col min="1541" max="1541" width="0" hidden="1" customWidth="1"/>
    <col min="1542" max="1542" width="12" bestFit="1" customWidth="1"/>
    <col min="1543" max="1543" width="13.5703125" customWidth="1"/>
    <col min="1544" max="1544" width="12.7109375" bestFit="1" customWidth="1"/>
    <col min="1545" max="1545" width="14.140625" customWidth="1"/>
    <col min="1546" max="1546" width="11.7109375" bestFit="1" customWidth="1"/>
    <col min="1547" max="1547" width="2.42578125" customWidth="1"/>
    <col min="1548" max="1548" width="12.5703125" bestFit="1" customWidth="1"/>
    <col min="1795" max="1795" width="11.140625" customWidth="1"/>
    <col min="1796" max="1796" width="12" customWidth="1"/>
    <col min="1797" max="1797" width="0" hidden="1" customWidth="1"/>
    <col min="1798" max="1798" width="12" bestFit="1" customWidth="1"/>
    <col min="1799" max="1799" width="13.5703125" customWidth="1"/>
    <col min="1800" max="1800" width="12.7109375" bestFit="1" customWidth="1"/>
    <col min="1801" max="1801" width="14.140625" customWidth="1"/>
    <col min="1802" max="1802" width="11.7109375" bestFit="1" customWidth="1"/>
    <col min="1803" max="1803" width="2.42578125" customWidth="1"/>
    <col min="1804" max="1804" width="12.5703125" bestFit="1" customWidth="1"/>
    <col min="2051" max="2051" width="11.140625" customWidth="1"/>
    <col min="2052" max="2052" width="12" customWidth="1"/>
    <col min="2053" max="2053" width="0" hidden="1" customWidth="1"/>
    <col min="2054" max="2054" width="12" bestFit="1" customWidth="1"/>
    <col min="2055" max="2055" width="13.5703125" customWidth="1"/>
    <col min="2056" max="2056" width="12.7109375" bestFit="1" customWidth="1"/>
    <col min="2057" max="2057" width="14.140625" customWidth="1"/>
    <col min="2058" max="2058" width="11.7109375" bestFit="1" customWidth="1"/>
    <col min="2059" max="2059" width="2.42578125" customWidth="1"/>
    <col min="2060" max="2060" width="12.5703125" bestFit="1" customWidth="1"/>
    <col min="2307" max="2307" width="11.140625" customWidth="1"/>
    <col min="2308" max="2308" width="12" customWidth="1"/>
    <col min="2309" max="2309" width="0" hidden="1" customWidth="1"/>
    <col min="2310" max="2310" width="12" bestFit="1" customWidth="1"/>
    <col min="2311" max="2311" width="13.5703125" customWidth="1"/>
    <col min="2312" max="2312" width="12.7109375" bestFit="1" customWidth="1"/>
    <col min="2313" max="2313" width="14.140625" customWidth="1"/>
    <col min="2314" max="2314" width="11.7109375" bestFit="1" customWidth="1"/>
    <col min="2315" max="2315" width="2.42578125" customWidth="1"/>
    <col min="2316" max="2316" width="12.5703125" bestFit="1" customWidth="1"/>
    <col min="2563" max="2563" width="11.140625" customWidth="1"/>
    <col min="2564" max="2564" width="12" customWidth="1"/>
    <col min="2565" max="2565" width="0" hidden="1" customWidth="1"/>
    <col min="2566" max="2566" width="12" bestFit="1" customWidth="1"/>
    <col min="2567" max="2567" width="13.5703125" customWidth="1"/>
    <col min="2568" max="2568" width="12.7109375" bestFit="1" customWidth="1"/>
    <col min="2569" max="2569" width="14.140625" customWidth="1"/>
    <col min="2570" max="2570" width="11.7109375" bestFit="1" customWidth="1"/>
    <col min="2571" max="2571" width="2.42578125" customWidth="1"/>
    <col min="2572" max="2572" width="12.5703125" bestFit="1" customWidth="1"/>
    <col min="2819" max="2819" width="11.140625" customWidth="1"/>
    <col min="2820" max="2820" width="12" customWidth="1"/>
    <col min="2821" max="2821" width="0" hidden="1" customWidth="1"/>
    <col min="2822" max="2822" width="12" bestFit="1" customWidth="1"/>
    <col min="2823" max="2823" width="13.5703125" customWidth="1"/>
    <col min="2824" max="2824" width="12.7109375" bestFit="1" customWidth="1"/>
    <col min="2825" max="2825" width="14.140625" customWidth="1"/>
    <col min="2826" max="2826" width="11.7109375" bestFit="1" customWidth="1"/>
    <col min="2827" max="2827" width="2.42578125" customWidth="1"/>
    <col min="2828" max="2828" width="12.5703125" bestFit="1" customWidth="1"/>
    <col min="3075" max="3075" width="11.140625" customWidth="1"/>
    <col min="3076" max="3076" width="12" customWidth="1"/>
    <col min="3077" max="3077" width="0" hidden="1" customWidth="1"/>
    <col min="3078" max="3078" width="12" bestFit="1" customWidth="1"/>
    <col min="3079" max="3079" width="13.5703125" customWidth="1"/>
    <col min="3080" max="3080" width="12.7109375" bestFit="1" customWidth="1"/>
    <col min="3081" max="3081" width="14.140625" customWidth="1"/>
    <col min="3082" max="3082" width="11.7109375" bestFit="1" customWidth="1"/>
    <col min="3083" max="3083" width="2.42578125" customWidth="1"/>
    <col min="3084" max="3084" width="12.5703125" bestFit="1" customWidth="1"/>
    <col min="3331" max="3331" width="11.140625" customWidth="1"/>
    <col min="3332" max="3332" width="12" customWidth="1"/>
    <col min="3333" max="3333" width="0" hidden="1" customWidth="1"/>
    <col min="3334" max="3334" width="12" bestFit="1" customWidth="1"/>
    <col min="3335" max="3335" width="13.5703125" customWidth="1"/>
    <col min="3336" max="3336" width="12.7109375" bestFit="1" customWidth="1"/>
    <col min="3337" max="3337" width="14.140625" customWidth="1"/>
    <col min="3338" max="3338" width="11.7109375" bestFit="1" customWidth="1"/>
    <col min="3339" max="3339" width="2.42578125" customWidth="1"/>
    <col min="3340" max="3340" width="12.5703125" bestFit="1" customWidth="1"/>
    <col min="3587" max="3587" width="11.140625" customWidth="1"/>
    <col min="3588" max="3588" width="12" customWidth="1"/>
    <col min="3589" max="3589" width="0" hidden="1" customWidth="1"/>
    <col min="3590" max="3590" width="12" bestFit="1" customWidth="1"/>
    <col min="3591" max="3591" width="13.5703125" customWidth="1"/>
    <col min="3592" max="3592" width="12.7109375" bestFit="1" customWidth="1"/>
    <col min="3593" max="3593" width="14.140625" customWidth="1"/>
    <col min="3594" max="3594" width="11.7109375" bestFit="1" customWidth="1"/>
    <col min="3595" max="3595" width="2.42578125" customWidth="1"/>
    <col min="3596" max="3596" width="12.5703125" bestFit="1" customWidth="1"/>
    <col min="3843" max="3843" width="11.140625" customWidth="1"/>
    <col min="3844" max="3844" width="12" customWidth="1"/>
    <col min="3845" max="3845" width="0" hidden="1" customWidth="1"/>
    <col min="3846" max="3846" width="12" bestFit="1" customWidth="1"/>
    <col min="3847" max="3847" width="13.5703125" customWidth="1"/>
    <col min="3848" max="3848" width="12.7109375" bestFit="1" customWidth="1"/>
    <col min="3849" max="3849" width="14.140625" customWidth="1"/>
    <col min="3850" max="3850" width="11.7109375" bestFit="1" customWidth="1"/>
    <col min="3851" max="3851" width="2.42578125" customWidth="1"/>
    <col min="3852" max="3852" width="12.5703125" bestFit="1" customWidth="1"/>
    <col min="4099" max="4099" width="11.140625" customWidth="1"/>
    <col min="4100" max="4100" width="12" customWidth="1"/>
    <col min="4101" max="4101" width="0" hidden="1" customWidth="1"/>
    <col min="4102" max="4102" width="12" bestFit="1" customWidth="1"/>
    <col min="4103" max="4103" width="13.5703125" customWidth="1"/>
    <col min="4104" max="4104" width="12.7109375" bestFit="1" customWidth="1"/>
    <col min="4105" max="4105" width="14.140625" customWidth="1"/>
    <col min="4106" max="4106" width="11.7109375" bestFit="1" customWidth="1"/>
    <col min="4107" max="4107" width="2.42578125" customWidth="1"/>
    <col min="4108" max="4108" width="12.5703125" bestFit="1" customWidth="1"/>
    <col min="4355" max="4355" width="11.140625" customWidth="1"/>
    <col min="4356" max="4356" width="12" customWidth="1"/>
    <col min="4357" max="4357" width="0" hidden="1" customWidth="1"/>
    <col min="4358" max="4358" width="12" bestFit="1" customWidth="1"/>
    <col min="4359" max="4359" width="13.5703125" customWidth="1"/>
    <col min="4360" max="4360" width="12.7109375" bestFit="1" customWidth="1"/>
    <col min="4361" max="4361" width="14.140625" customWidth="1"/>
    <col min="4362" max="4362" width="11.7109375" bestFit="1" customWidth="1"/>
    <col min="4363" max="4363" width="2.42578125" customWidth="1"/>
    <col min="4364" max="4364" width="12.5703125" bestFit="1" customWidth="1"/>
    <col min="4611" max="4611" width="11.140625" customWidth="1"/>
    <col min="4612" max="4612" width="12" customWidth="1"/>
    <col min="4613" max="4613" width="0" hidden="1" customWidth="1"/>
    <col min="4614" max="4614" width="12" bestFit="1" customWidth="1"/>
    <col min="4615" max="4615" width="13.5703125" customWidth="1"/>
    <col min="4616" max="4616" width="12.7109375" bestFit="1" customWidth="1"/>
    <col min="4617" max="4617" width="14.140625" customWidth="1"/>
    <col min="4618" max="4618" width="11.7109375" bestFit="1" customWidth="1"/>
    <col min="4619" max="4619" width="2.42578125" customWidth="1"/>
    <col min="4620" max="4620" width="12.5703125" bestFit="1" customWidth="1"/>
    <col min="4867" max="4867" width="11.140625" customWidth="1"/>
    <col min="4868" max="4868" width="12" customWidth="1"/>
    <col min="4869" max="4869" width="0" hidden="1" customWidth="1"/>
    <col min="4870" max="4870" width="12" bestFit="1" customWidth="1"/>
    <col min="4871" max="4871" width="13.5703125" customWidth="1"/>
    <col min="4872" max="4872" width="12.7109375" bestFit="1" customWidth="1"/>
    <col min="4873" max="4873" width="14.140625" customWidth="1"/>
    <col min="4874" max="4874" width="11.7109375" bestFit="1" customWidth="1"/>
    <col min="4875" max="4875" width="2.42578125" customWidth="1"/>
    <col min="4876" max="4876" width="12.5703125" bestFit="1" customWidth="1"/>
    <col min="5123" max="5123" width="11.140625" customWidth="1"/>
    <col min="5124" max="5124" width="12" customWidth="1"/>
    <col min="5125" max="5125" width="0" hidden="1" customWidth="1"/>
    <col min="5126" max="5126" width="12" bestFit="1" customWidth="1"/>
    <col min="5127" max="5127" width="13.5703125" customWidth="1"/>
    <col min="5128" max="5128" width="12.7109375" bestFit="1" customWidth="1"/>
    <col min="5129" max="5129" width="14.140625" customWidth="1"/>
    <col min="5130" max="5130" width="11.7109375" bestFit="1" customWidth="1"/>
    <col min="5131" max="5131" width="2.42578125" customWidth="1"/>
    <col min="5132" max="5132" width="12.5703125" bestFit="1" customWidth="1"/>
    <col min="5379" max="5379" width="11.140625" customWidth="1"/>
    <col min="5380" max="5380" width="12" customWidth="1"/>
    <col min="5381" max="5381" width="0" hidden="1" customWidth="1"/>
    <col min="5382" max="5382" width="12" bestFit="1" customWidth="1"/>
    <col min="5383" max="5383" width="13.5703125" customWidth="1"/>
    <col min="5384" max="5384" width="12.7109375" bestFit="1" customWidth="1"/>
    <col min="5385" max="5385" width="14.140625" customWidth="1"/>
    <col min="5386" max="5386" width="11.7109375" bestFit="1" customWidth="1"/>
    <col min="5387" max="5387" width="2.42578125" customWidth="1"/>
    <col min="5388" max="5388" width="12.5703125" bestFit="1" customWidth="1"/>
    <col min="5635" max="5635" width="11.140625" customWidth="1"/>
    <col min="5636" max="5636" width="12" customWidth="1"/>
    <col min="5637" max="5637" width="0" hidden="1" customWidth="1"/>
    <col min="5638" max="5638" width="12" bestFit="1" customWidth="1"/>
    <col min="5639" max="5639" width="13.5703125" customWidth="1"/>
    <col min="5640" max="5640" width="12.7109375" bestFit="1" customWidth="1"/>
    <col min="5641" max="5641" width="14.140625" customWidth="1"/>
    <col min="5642" max="5642" width="11.7109375" bestFit="1" customWidth="1"/>
    <col min="5643" max="5643" width="2.42578125" customWidth="1"/>
    <col min="5644" max="5644" width="12.5703125" bestFit="1" customWidth="1"/>
    <col min="5891" max="5891" width="11.140625" customWidth="1"/>
    <col min="5892" max="5892" width="12" customWidth="1"/>
    <col min="5893" max="5893" width="0" hidden="1" customWidth="1"/>
    <col min="5894" max="5894" width="12" bestFit="1" customWidth="1"/>
    <col min="5895" max="5895" width="13.5703125" customWidth="1"/>
    <col min="5896" max="5896" width="12.7109375" bestFit="1" customWidth="1"/>
    <col min="5897" max="5897" width="14.140625" customWidth="1"/>
    <col min="5898" max="5898" width="11.7109375" bestFit="1" customWidth="1"/>
    <col min="5899" max="5899" width="2.42578125" customWidth="1"/>
    <col min="5900" max="5900" width="12.5703125" bestFit="1" customWidth="1"/>
    <col min="6147" max="6147" width="11.140625" customWidth="1"/>
    <col min="6148" max="6148" width="12" customWidth="1"/>
    <col min="6149" max="6149" width="0" hidden="1" customWidth="1"/>
    <col min="6150" max="6150" width="12" bestFit="1" customWidth="1"/>
    <col min="6151" max="6151" width="13.5703125" customWidth="1"/>
    <col min="6152" max="6152" width="12.7109375" bestFit="1" customWidth="1"/>
    <col min="6153" max="6153" width="14.140625" customWidth="1"/>
    <col min="6154" max="6154" width="11.7109375" bestFit="1" customWidth="1"/>
    <col min="6155" max="6155" width="2.42578125" customWidth="1"/>
    <col min="6156" max="6156" width="12.5703125" bestFit="1" customWidth="1"/>
    <col min="6403" max="6403" width="11.140625" customWidth="1"/>
    <col min="6404" max="6404" width="12" customWidth="1"/>
    <col min="6405" max="6405" width="0" hidden="1" customWidth="1"/>
    <col min="6406" max="6406" width="12" bestFit="1" customWidth="1"/>
    <col min="6407" max="6407" width="13.5703125" customWidth="1"/>
    <col min="6408" max="6408" width="12.7109375" bestFit="1" customWidth="1"/>
    <col min="6409" max="6409" width="14.140625" customWidth="1"/>
    <col min="6410" max="6410" width="11.7109375" bestFit="1" customWidth="1"/>
    <col min="6411" max="6411" width="2.42578125" customWidth="1"/>
    <col min="6412" max="6412" width="12.5703125" bestFit="1" customWidth="1"/>
    <col min="6659" max="6659" width="11.140625" customWidth="1"/>
    <col min="6660" max="6660" width="12" customWidth="1"/>
    <col min="6661" max="6661" width="0" hidden="1" customWidth="1"/>
    <col min="6662" max="6662" width="12" bestFit="1" customWidth="1"/>
    <col min="6663" max="6663" width="13.5703125" customWidth="1"/>
    <col min="6664" max="6664" width="12.7109375" bestFit="1" customWidth="1"/>
    <col min="6665" max="6665" width="14.140625" customWidth="1"/>
    <col min="6666" max="6666" width="11.7109375" bestFit="1" customWidth="1"/>
    <col min="6667" max="6667" width="2.42578125" customWidth="1"/>
    <col min="6668" max="6668" width="12.5703125" bestFit="1" customWidth="1"/>
    <col min="6915" max="6915" width="11.140625" customWidth="1"/>
    <col min="6916" max="6916" width="12" customWidth="1"/>
    <col min="6917" max="6917" width="0" hidden="1" customWidth="1"/>
    <col min="6918" max="6918" width="12" bestFit="1" customWidth="1"/>
    <col min="6919" max="6919" width="13.5703125" customWidth="1"/>
    <col min="6920" max="6920" width="12.7109375" bestFit="1" customWidth="1"/>
    <col min="6921" max="6921" width="14.140625" customWidth="1"/>
    <col min="6922" max="6922" width="11.7109375" bestFit="1" customWidth="1"/>
    <col min="6923" max="6923" width="2.42578125" customWidth="1"/>
    <col min="6924" max="6924" width="12.5703125" bestFit="1" customWidth="1"/>
    <col min="7171" max="7171" width="11.140625" customWidth="1"/>
    <col min="7172" max="7172" width="12" customWidth="1"/>
    <col min="7173" max="7173" width="0" hidden="1" customWidth="1"/>
    <col min="7174" max="7174" width="12" bestFit="1" customWidth="1"/>
    <col min="7175" max="7175" width="13.5703125" customWidth="1"/>
    <col min="7176" max="7176" width="12.7109375" bestFit="1" customWidth="1"/>
    <col min="7177" max="7177" width="14.140625" customWidth="1"/>
    <col min="7178" max="7178" width="11.7109375" bestFit="1" customWidth="1"/>
    <col min="7179" max="7179" width="2.42578125" customWidth="1"/>
    <col min="7180" max="7180" width="12.5703125" bestFit="1" customWidth="1"/>
    <col min="7427" max="7427" width="11.140625" customWidth="1"/>
    <col min="7428" max="7428" width="12" customWidth="1"/>
    <col min="7429" max="7429" width="0" hidden="1" customWidth="1"/>
    <col min="7430" max="7430" width="12" bestFit="1" customWidth="1"/>
    <col min="7431" max="7431" width="13.5703125" customWidth="1"/>
    <col min="7432" max="7432" width="12.7109375" bestFit="1" customWidth="1"/>
    <col min="7433" max="7433" width="14.140625" customWidth="1"/>
    <col min="7434" max="7434" width="11.7109375" bestFit="1" customWidth="1"/>
    <col min="7435" max="7435" width="2.42578125" customWidth="1"/>
    <col min="7436" max="7436" width="12.5703125" bestFit="1" customWidth="1"/>
    <col min="7683" max="7683" width="11.140625" customWidth="1"/>
    <col min="7684" max="7684" width="12" customWidth="1"/>
    <col min="7685" max="7685" width="0" hidden="1" customWidth="1"/>
    <col min="7686" max="7686" width="12" bestFit="1" customWidth="1"/>
    <col min="7687" max="7687" width="13.5703125" customWidth="1"/>
    <col min="7688" max="7688" width="12.7109375" bestFit="1" customWidth="1"/>
    <col min="7689" max="7689" width="14.140625" customWidth="1"/>
    <col min="7690" max="7690" width="11.7109375" bestFit="1" customWidth="1"/>
    <col min="7691" max="7691" width="2.42578125" customWidth="1"/>
    <col min="7692" max="7692" width="12.5703125" bestFit="1" customWidth="1"/>
    <col min="7939" max="7939" width="11.140625" customWidth="1"/>
    <col min="7940" max="7940" width="12" customWidth="1"/>
    <col min="7941" max="7941" width="0" hidden="1" customWidth="1"/>
    <col min="7942" max="7942" width="12" bestFit="1" customWidth="1"/>
    <col min="7943" max="7943" width="13.5703125" customWidth="1"/>
    <col min="7944" max="7944" width="12.7109375" bestFit="1" customWidth="1"/>
    <col min="7945" max="7945" width="14.140625" customWidth="1"/>
    <col min="7946" max="7946" width="11.7109375" bestFit="1" customWidth="1"/>
    <col min="7947" max="7947" width="2.42578125" customWidth="1"/>
    <col min="7948" max="7948" width="12.5703125" bestFit="1" customWidth="1"/>
    <col min="8195" max="8195" width="11.140625" customWidth="1"/>
    <col min="8196" max="8196" width="12" customWidth="1"/>
    <col min="8197" max="8197" width="0" hidden="1" customWidth="1"/>
    <col min="8198" max="8198" width="12" bestFit="1" customWidth="1"/>
    <col min="8199" max="8199" width="13.5703125" customWidth="1"/>
    <col min="8200" max="8200" width="12.7109375" bestFit="1" customWidth="1"/>
    <col min="8201" max="8201" width="14.140625" customWidth="1"/>
    <col min="8202" max="8202" width="11.7109375" bestFit="1" customWidth="1"/>
    <col min="8203" max="8203" width="2.42578125" customWidth="1"/>
    <col min="8204" max="8204" width="12.5703125" bestFit="1" customWidth="1"/>
    <col min="8451" max="8451" width="11.140625" customWidth="1"/>
    <col min="8452" max="8452" width="12" customWidth="1"/>
    <col min="8453" max="8453" width="0" hidden="1" customWidth="1"/>
    <col min="8454" max="8454" width="12" bestFit="1" customWidth="1"/>
    <col min="8455" max="8455" width="13.5703125" customWidth="1"/>
    <col min="8456" max="8456" width="12.7109375" bestFit="1" customWidth="1"/>
    <col min="8457" max="8457" width="14.140625" customWidth="1"/>
    <col min="8458" max="8458" width="11.7109375" bestFit="1" customWidth="1"/>
    <col min="8459" max="8459" width="2.42578125" customWidth="1"/>
    <col min="8460" max="8460" width="12.5703125" bestFit="1" customWidth="1"/>
    <col min="8707" max="8707" width="11.140625" customWidth="1"/>
    <col min="8708" max="8708" width="12" customWidth="1"/>
    <col min="8709" max="8709" width="0" hidden="1" customWidth="1"/>
    <col min="8710" max="8710" width="12" bestFit="1" customWidth="1"/>
    <col min="8711" max="8711" width="13.5703125" customWidth="1"/>
    <col min="8712" max="8712" width="12.7109375" bestFit="1" customWidth="1"/>
    <col min="8713" max="8713" width="14.140625" customWidth="1"/>
    <col min="8714" max="8714" width="11.7109375" bestFit="1" customWidth="1"/>
    <col min="8715" max="8715" width="2.42578125" customWidth="1"/>
    <col min="8716" max="8716" width="12.5703125" bestFit="1" customWidth="1"/>
    <col min="8963" max="8963" width="11.140625" customWidth="1"/>
    <col min="8964" max="8964" width="12" customWidth="1"/>
    <col min="8965" max="8965" width="0" hidden="1" customWidth="1"/>
    <col min="8966" max="8966" width="12" bestFit="1" customWidth="1"/>
    <col min="8967" max="8967" width="13.5703125" customWidth="1"/>
    <col min="8968" max="8968" width="12.7109375" bestFit="1" customWidth="1"/>
    <col min="8969" max="8969" width="14.140625" customWidth="1"/>
    <col min="8970" max="8970" width="11.7109375" bestFit="1" customWidth="1"/>
    <col min="8971" max="8971" width="2.42578125" customWidth="1"/>
    <col min="8972" max="8972" width="12.5703125" bestFit="1" customWidth="1"/>
    <col min="9219" max="9219" width="11.140625" customWidth="1"/>
    <col min="9220" max="9220" width="12" customWidth="1"/>
    <col min="9221" max="9221" width="0" hidden="1" customWidth="1"/>
    <col min="9222" max="9222" width="12" bestFit="1" customWidth="1"/>
    <col min="9223" max="9223" width="13.5703125" customWidth="1"/>
    <col min="9224" max="9224" width="12.7109375" bestFit="1" customWidth="1"/>
    <col min="9225" max="9225" width="14.140625" customWidth="1"/>
    <col min="9226" max="9226" width="11.7109375" bestFit="1" customWidth="1"/>
    <col min="9227" max="9227" width="2.42578125" customWidth="1"/>
    <col min="9228" max="9228" width="12.5703125" bestFit="1" customWidth="1"/>
    <col min="9475" max="9475" width="11.140625" customWidth="1"/>
    <col min="9476" max="9476" width="12" customWidth="1"/>
    <col min="9477" max="9477" width="0" hidden="1" customWidth="1"/>
    <col min="9478" max="9478" width="12" bestFit="1" customWidth="1"/>
    <col min="9479" max="9479" width="13.5703125" customWidth="1"/>
    <col min="9480" max="9480" width="12.7109375" bestFit="1" customWidth="1"/>
    <col min="9481" max="9481" width="14.140625" customWidth="1"/>
    <col min="9482" max="9482" width="11.7109375" bestFit="1" customWidth="1"/>
    <col min="9483" max="9483" width="2.42578125" customWidth="1"/>
    <col min="9484" max="9484" width="12.5703125" bestFit="1" customWidth="1"/>
    <col min="9731" max="9731" width="11.140625" customWidth="1"/>
    <col min="9732" max="9732" width="12" customWidth="1"/>
    <col min="9733" max="9733" width="0" hidden="1" customWidth="1"/>
    <col min="9734" max="9734" width="12" bestFit="1" customWidth="1"/>
    <col min="9735" max="9735" width="13.5703125" customWidth="1"/>
    <col min="9736" max="9736" width="12.7109375" bestFit="1" customWidth="1"/>
    <col min="9737" max="9737" width="14.140625" customWidth="1"/>
    <col min="9738" max="9738" width="11.7109375" bestFit="1" customWidth="1"/>
    <col min="9739" max="9739" width="2.42578125" customWidth="1"/>
    <col min="9740" max="9740" width="12.5703125" bestFit="1" customWidth="1"/>
    <col min="9987" max="9987" width="11.140625" customWidth="1"/>
    <col min="9988" max="9988" width="12" customWidth="1"/>
    <col min="9989" max="9989" width="0" hidden="1" customWidth="1"/>
    <col min="9990" max="9990" width="12" bestFit="1" customWidth="1"/>
    <col min="9991" max="9991" width="13.5703125" customWidth="1"/>
    <col min="9992" max="9992" width="12.7109375" bestFit="1" customWidth="1"/>
    <col min="9993" max="9993" width="14.140625" customWidth="1"/>
    <col min="9994" max="9994" width="11.7109375" bestFit="1" customWidth="1"/>
    <col min="9995" max="9995" width="2.42578125" customWidth="1"/>
    <col min="9996" max="9996" width="12.5703125" bestFit="1" customWidth="1"/>
    <col min="10243" max="10243" width="11.140625" customWidth="1"/>
    <col min="10244" max="10244" width="12" customWidth="1"/>
    <col min="10245" max="10245" width="0" hidden="1" customWidth="1"/>
    <col min="10246" max="10246" width="12" bestFit="1" customWidth="1"/>
    <col min="10247" max="10247" width="13.5703125" customWidth="1"/>
    <col min="10248" max="10248" width="12.7109375" bestFit="1" customWidth="1"/>
    <col min="10249" max="10249" width="14.140625" customWidth="1"/>
    <col min="10250" max="10250" width="11.7109375" bestFit="1" customWidth="1"/>
    <col min="10251" max="10251" width="2.42578125" customWidth="1"/>
    <col min="10252" max="10252" width="12.5703125" bestFit="1" customWidth="1"/>
    <col min="10499" max="10499" width="11.140625" customWidth="1"/>
    <col min="10500" max="10500" width="12" customWidth="1"/>
    <col min="10501" max="10501" width="0" hidden="1" customWidth="1"/>
    <col min="10502" max="10502" width="12" bestFit="1" customWidth="1"/>
    <col min="10503" max="10503" width="13.5703125" customWidth="1"/>
    <col min="10504" max="10504" width="12.7109375" bestFit="1" customWidth="1"/>
    <col min="10505" max="10505" width="14.140625" customWidth="1"/>
    <col min="10506" max="10506" width="11.7109375" bestFit="1" customWidth="1"/>
    <col min="10507" max="10507" width="2.42578125" customWidth="1"/>
    <col min="10508" max="10508" width="12.5703125" bestFit="1" customWidth="1"/>
    <col min="10755" max="10755" width="11.140625" customWidth="1"/>
    <col min="10756" max="10756" width="12" customWidth="1"/>
    <col min="10757" max="10757" width="0" hidden="1" customWidth="1"/>
    <col min="10758" max="10758" width="12" bestFit="1" customWidth="1"/>
    <col min="10759" max="10759" width="13.5703125" customWidth="1"/>
    <col min="10760" max="10760" width="12.7109375" bestFit="1" customWidth="1"/>
    <col min="10761" max="10761" width="14.140625" customWidth="1"/>
    <col min="10762" max="10762" width="11.7109375" bestFit="1" customWidth="1"/>
    <col min="10763" max="10763" width="2.42578125" customWidth="1"/>
    <col min="10764" max="10764" width="12.5703125" bestFit="1" customWidth="1"/>
    <col min="11011" max="11011" width="11.140625" customWidth="1"/>
    <col min="11012" max="11012" width="12" customWidth="1"/>
    <col min="11013" max="11013" width="0" hidden="1" customWidth="1"/>
    <col min="11014" max="11014" width="12" bestFit="1" customWidth="1"/>
    <col min="11015" max="11015" width="13.5703125" customWidth="1"/>
    <col min="11016" max="11016" width="12.7109375" bestFit="1" customWidth="1"/>
    <col min="11017" max="11017" width="14.140625" customWidth="1"/>
    <col min="11018" max="11018" width="11.7109375" bestFit="1" customWidth="1"/>
    <col min="11019" max="11019" width="2.42578125" customWidth="1"/>
    <col min="11020" max="11020" width="12.5703125" bestFit="1" customWidth="1"/>
    <col min="11267" max="11267" width="11.140625" customWidth="1"/>
    <col min="11268" max="11268" width="12" customWidth="1"/>
    <col min="11269" max="11269" width="0" hidden="1" customWidth="1"/>
    <col min="11270" max="11270" width="12" bestFit="1" customWidth="1"/>
    <col min="11271" max="11271" width="13.5703125" customWidth="1"/>
    <col min="11272" max="11272" width="12.7109375" bestFit="1" customWidth="1"/>
    <col min="11273" max="11273" width="14.140625" customWidth="1"/>
    <col min="11274" max="11274" width="11.7109375" bestFit="1" customWidth="1"/>
    <col min="11275" max="11275" width="2.42578125" customWidth="1"/>
    <col min="11276" max="11276" width="12.5703125" bestFit="1" customWidth="1"/>
    <col min="11523" max="11523" width="11.140625" customWidth="1"/>
    <col min="11524" max="11524" width="12" customWidth="1"/>
    <col min="11525" max="11525" width="0" hidden="1" customWidth="1"/>
    <col min="11526" max="11526" width="12" bestFit="1" customWidth="1"/>
    <col min="11527" max="11527" width="13.5703125" customWidth="1"/>
    <col min="11528" max="11528" width="12.7109375" bestFit="1" customWidth="1"/>
    <col min="11529" max="11529" width="14.140625" customWidth="1"/>
    <col min="11530" max="11530" width="11.7109375" bestFit="1" customWidth="1"/>
    <col min="11531" max="11531" width="2.42578125" customWidth="1"/>
    <col min="11532" max="11532" width="12.5703125" bestFit="1" customWidth="1"/>
    <col min="11779" max="11779" width="11.140625" customWidth="1"/>
    <col min="11780" max="11780" width="12" customWidth="1"/>
    <col min="11781" max="11781" width="0" hidden="1" customWidth="1"/>
    <col min="11782" max="11782" width="12" bestFit="1" customWidth="1"/>
    <col min="11783" max="11783" width="13.5703125" customWidth="1"/>
    <col min="11784" max="11784" width="12.7109375" bestFit="1" customWidth="1"/>
    <col min="11785" max="11785" width="14.140625" customWidth="1"/>
    <col min="11786" max="11786" width="11.7109375" bestFit="1" customWidth="1"/>
    <col min="11787" max="11787" width="2.42578125" customWidth="1"/>
    <col min="11788" max="11788" width="12.5703125" bestFit="1" customWidth="1"/>
    <col min="12035" max="12035" width="11.140625" customWidth="1"/>
    <col min="12036" max="12036" width="12" customWidth="1"/>
    <col min="12037" max="12037" width="0" hidden="1" customWidth="1"/>
    <col min="12038" max="12038" width="12" bestFit="1" customWidth="1"/>
    <col min="12039" max="12039" width="13.5703125" customWidth="1"/>
    <col min="12040" max="12040" width="12.7109375" bestFit="1" customWidth="1"/>
    <col min="12041" max="12041" width="14.140625" customWidth="1"/>
    <col min="12042" max="12042" width="11.7109375" bestFit="1" customWidth="1"/>
    <col min="12043" max="12043" width="2.42578125" customWidth="1"/>
    <col min="12044" max="12044" width="12.5703125" bestFit="1" customWidth="1"/>
    <col min="12291" max="12291" width="11.140625" customWidth="1"/>
    <col min="12292" max="12292" width="12" customWidth="1"/>
    <col min="12293" max="12293" width="0" hidden="1" customWidth="1"/>
    <col min="12294" max="12294" width="12" bestFit="1" customWidth="1"/>
    <col min="12295" max="12295" width="13.5703125" customWidth="1"/>
    <col min="12296" max="12296" width="12.7109375" bestFit="1" customWidth="1"/>
    <col min="12297" max="12297" width="14.140625" customWidth="1"/>
    <col min="12298" max="12298" width="11.7109375" bestFit="1" customWidth="1"/>
    <col min="12299" max="12299" width="2.42578125" customWidth="1"/>
    <col min="12300" max="12300" width="12.5703125" bestFit="1" customWidth="1"/>
    <col min="12547" max="12547" width="11.140625" customWidth="1"/>
    <col min="12548" max="12548" width="12" customWidth="1"/>
    <col min="12549" max="12549" width="0" hidden="1" customWidth="1"/>
    <col min="12550" max="12550" width="12" bestFit="1" customWidth="1"/>
    <col min="12551" max="12551" width="13.5703125" customWidth="1"/>
    <col min="12552" max="12552" width="12.7109375" bestFit="1" customWidth="1"/>
    <col min="12553" max="12553" width="14.140625" customWidth="1"/>
    <col min="12554" max="12554" width="11.7109375" bestFit="1" customWidth="1"/>
    <col min="12555" max="12555" width="2.42578125" customWidth="1"/>
    <col min="12556" max="12556" width="12.5703125" bestFit="1" customWidth="1"/>
    <col min="12803" max="12803" width="11.140625" customWidth="1"/>
    <col min="12804" max="12804" width="12" customWidth="1"/>
    <col min="12805" max="12805" width="0" hidden="1" customWidth="1"/>
    <col min="12806" max="12806" width="12" bestFit="1" customWidth="1"/>
    <col min="12807" max="12807" width="13.5703125" customWidth="1"/>
    <col min="12808" max="12808" width="12.7109375" bestFit="1" customWidth="1"/>
    <col min="12809" max="12809" width="14.140625" customWidth="1"/>
    <col min="12810" max="12810" width="11.7109375" bestFit="1" customWidth="1"/>
    <col min="12811" max="12811" width="2.42578125" customWidth="1"/>
    <col min="12812" max="12812" width="12.5703125" bestFit="1" customWidth="1"/>
    <col min="13059" max="13059" width="11.140625" customWidth="1"/>
    <col min="13060" max="13060" width="12" customWidth="1"/>
    <col min="13061" max="13061" width="0" hidden="1" customWidth="1"/>
    <col min="13062" max="13062" width="12" bestFit="1" customWidth="1"/>
    <col min="13063" max="13063" width="13.5703125" customWidth="1"/>
    <col min="13064" max="13064" width="12.7109375" bestFit="1" customWidth="1"/>
    <col min="13065" max="13065" width="14.140625" customWidth="1"/>
    <col min="13066" max="13066" width="11.7109375" bestFit="1" customWidth="1"/>
    <col min="13067" max="13067" width="2.42578125" customWidth="1"/>
    <col min="13068" max="13068" width="12.5703125" bestFit="1" customWidth="1"/>
    <col min="13315" max="13315" width="11.140625" customWidth="1"/>
    <col min="13316" max="13316" width="12" customWidth="1"/>
    <col min="13317" max="13317" width="0" hidden="1" customWidth="1"/>
    <col min="13318" max="13318" width="12" bestFit="1" customWidth="1"/>
    <col min="13319" max="13319" width="13.5703125" customWidth="1"/>
    <col min="13320" max="13320" width="12.7109375" bestFit="1" customWidth="1"/>
    <col min="13321" max="13321" width="14.140625" customWidth="1"/>
    <col min="13322" max="13322" width="11.7109375" bestFit="1" customWidth="1"/>
    <col min="13323" max="13323" width="2.42578125" customWidth="1"/>
    <col min="13324" max="13324" width="12.5703125" bestFit="1" customWidth="1"/>
    <col min="13571" max="13571" width="11.140625" customWidth="1"/>
    <col min="13572" max="13572" width="12" customWidth="1"/>
    <col min="13573" max="13573" width="0" hidden="1" customWidth="1"/>
    <col min="13574" max="13574" width="12" bestFit="1" customWidth="1"/>
    <col min="13575" max="13575" width="13.5703125" customWidth="1"/>
    <col min="13576" max="13576" width="12.7109375" bestFit="1" customWidth="1"/>
    <col min="13577" max="13577" width="14.140625" customWidth="1"/>
    <col min="13578" max="13578" width="11.7109375" bestFit="1" customWidth="1"/>
    <col min="13579" max="13579" width="2.42578125" customWidth="1"/>
    <col min="13580" max="13580" width="12.5703125" bestFit="1" customWidth="1"/>
    <col min="13827" max="13827" width="11.140625" customWidth="1"/>
    <col min="13828" max="13828" width="12" customWidth="1"/>
    <col min="13829" max="13829" width="0" hidden="1" customWidth="1"/>
    <col min="13830" max="13830" width="12" bestFit="1" customWidth="1"/>
    <col min="13831" max="13831" width="13.5703125" customWidth="1"/>
    <col min="13832" max="13832" width="12.7109375" bestFit="1" customWidth="1"/>
    <col min="13833" max="13833" width="14.140625" customWidth="1"/>
    <col min="13834" max="13834" width="11.7109375" bestFit="1" customWidth="1"/>
    <col min="13835" max="13835" width="2.42578125" customWidth="1"/>
    <col min="13836" max="13836" width="12.5703125" bestFit="1" customWidth="1"/>
    <col min="14083" max="14083" width="11.140625" customWidth="1"/>
    <col min="14084" max="14084" width="12" customWidth="1"/>
    <col min="14085" max="14085" width="0" hidden="1" customWidth="1"/>
    <col min="14086" max="14086" width="12" bestFit="1" customWidth="1"/>
    <col min="14087" max="14087" width="13.5703125" customWidth="1"/>
    <col min="14088" max="14088" width="12.7109375" bestFit="1" customWidth="1"/>
    <col min="14089" max="14089" width="14.140625" customWidth="1"/>
    <col min="14090" max="14090" width="11.7109375" bestFit="1" customWidth="1"/>
    <col min="14091" max="14091" width="2.42578125" customWidth="1"/>
    <col min="14092" max="14092" width="12.5703125" bestFit="1" customWidth="1"/>
    <col min="14339" max="14339" width="11.140625" customWidth="1"/>
    <col min="14340" max="14340" width="12" customWidth="1"/>
    <col min="14341" max="14341" width="0" hidden="1" customWidth="1"/>
    <col min="14342" max="14342" width="12" bestFit="1" customWidth="1"/>
    <col min="14343" max="14343" width="13.5703125" customWidth="1"/>
    <col min="14344" max="14344" width="12.7109375" bestFit="1" customWidth="1"/>
    <col min="14345" max="14345" width="14.140625" customWidth="1"/>
    <col min="14346" max="14346" width="11.7109375" bestFit="1" customWidth="1"/>
    <col min="14347" max="14347" width="2.42578125" customWidth="1"/>
    <col min="14348" max="14348" width="12.5703125" bestFit="1" customWidth="1"/>
    <col min="14595" max="14595" width="11.140625" customWidth="1"/>
    <col min="14596" max="14596" width="12" customWidth="1"/>
    <col min="14597" max="14597" width="0" hidden="1" customWidth="1"/>
    <col min="14598" max="14598" width="12" bestFit="1" customWidth="1"/>
    <col min="14599" max="14599" width="13.5703125" customWidth="1"/>
    <col min="14600" max="14600" width="12.7109375" bestFit="1" customWidth="1"/>
    <col min="14601" max="14601" width="14.140625" customWidth="1"/>
    <col min="14602" max="14602" width="11.7109375" bestFit="1" customWidth="1"/>
    <col min="14603" max="14603" width="2.42578125" customWidth="1"/>
    <col min="14604" max="14604" width="12.5703125" bestFit="1" customWidth="1"/>
    <col min="14851" max="14851" width="11.140625" customWidth="1"/>
    <col min="14852" max="14852" width="12" customWidth="1"/>
    <col min="14853" max="14853" width="0" hidden="1" customWidth="1"/>
    <col min="14854" max="14854" width="12" bestFit="1" customWidth="1"/>
    <col min="14855" max="14855" width="13.5703125" customWidth="1"/>
    <col min="14856" max="14856" width="12.7109375" bestFit="1" customWidth="1"/>
    <col min="14857" max="14857" width="14.140625" customWidth="1"/>
    <col min="14858" max="14858" width="11.7109375" bestFit="1" customWidth="1"/>
    <col min="14859" max="14859" width="2.42578125" customWidth="1"/>
    <col min="14860" max="14860" width="12.5703125" bestFit="1" customWidth="1"/>
    <col min="15107" max="15107" width="11.140625" customWidth="1"/>
    <col min="15108" max="15108" width="12" customWidth="1"/>
    <col min="15109" max="15109" width="0" hidden="1" customWidth="1"/>
    <col min="15110" max="15110" width="12" bestFit="1" customWidth="1"/>
    <col min="15111" max="15111" width="13.5703125" customWidth="1"/>
    <col min="15112" max="15112" width="12.7109375" bestFit="1" customWidth="1"/>
    <col min="15113" max="15113" width="14.140625" customWidth="1"/>
    <col min="15114" max="15114" width="11.7109375" bestFit="1" customWidth="1"/>
    <col min="15115" max="15115" width="2.42578125" customWidth="1"/>
    <col min="15116" max="15116" width="12.5703125" bestFit="1" customWidth="1"/>
    <col min="15363" max="15363" width="11.140625" customWidth="1"/>
    <col min="15364" max="15364" width="12" customWidth="1"/>
    <col min="15365" max="15365" width="0" hidden="1" customWidth="1"/>
    <col min="15366" max="15366" width="12" bestFit="1" customWidth="1"/>
    <col min="15367" max="15367" width="13.5703125" customWidth="1"/>
    <col min="15368" max="15368" width="12.7109375" bestFit="1" customWidth="1"/>
    <col min="15369" max="15369" width="14.140625" customWidth="1"/>
    <col min="15370" max="15370" width="11.7109375" bestFit="1" customWidth="1"/>
    <col min="15371" max="15371" width="2.42578125" customWidth="1"/>
    <col min="15372" max="15372" width="12.5703125" bestFit="1" customWidth="1"/>
    <col min="15619" max="15619" width="11.140625" customWidth="1"/>
    <col min="15620" max="15620" width="12" customWidth="1"/>
    <col min="15621" max="15621" width="0" hidden="1" customWidth="1"/>
    <col min="15622" max="15622" width="12" bestFit="1" customWidth="1"/>
    <col min="15623" max="15623" width="13.5703125" customWidth="1"/>
    <col min="15624" max="15624" width="12.7109375" bestFit="1" customWidth="1"/>
    <col min="15625" max="15625" width="14.140625" customWidth="1"/>
    <col min="15626" max="15626" width="11.7109375" bestFit="1" customWidth="1"/>
    <col min="15627" max="15627" width="2.42578125" customWidth="1"/>
    <col min="15628" max="15628" width="12.5703125" bestFit="1" customWidth="1"/>
    <col min="15875" max="15875" width="11.140625" customWidth="1"/>
    <col min="15876" max="15876" width="12" customWidth="1"/>
    <col min="15877" max="15877" width="0" hidden="1" customWidth="1"/>
    <col min="15878" max="15878" width="12" bestFit="1" customWidth="1"/>
    <col min="15879" max="15879" width="13.5703125" customWidth="1"/>
    <col min="15880" max="15880" width="12.7109375" bestFit="1" customWidth="1"/>
    <col min="15881" max="15881" width="14.140625" customWidth="1"/>
    <col min="15882" max="15882" width="11.7109375" bestFit="1" customWidth="1"/>
    <col min="15883" max="15883" width="2.42578125" customWidth="1"/>
    <col min="15884" max="15884" width="12.5703125" bestFit="1" customWidth="1"/>
    <col min="16131" max="16131" width="11.140625" customWidth="1"/>
    <col min="16132" max="16132" width="12" customWidth="1"/>
    <col min="16133" max="16133" width="0" hidden="1" customWidth="1"/>
    <col min="16134" max="16134" width="12" bestFit="1" customWidth="1"/>
    <col min="16135" max="16135" width="13.5703125" customWidth="1"/>
    <col min="16136" max="16136" width="12.7109375" bestFit="1" customWidth="1"/>
    <col min="16137" max="16137" width="14.140625" customWidth="1"/>
    <col min="16138" max="16138" width="11.7109375" bestFit="1" customWidth="1"/>
    <col min="16139" max="16139" width="2.42578125" customWidth="1"/>
    <col min="16140" max="16140" width="12.57031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4" spans="1:13" x14ac:dyDescent="0.25">
      <c r="A4" t="s">
        <v>3</v>
      </c>
      <c r="E4" t="s">
        <v>39</v>
      </c>
    </row>
    <row r="6" spans="1:13" ht="15.75" x14ac:dyDescent="0.25">
      <c r="A6" s="28" t="s">
        <v>40</v>
      </c>
      <c r="B6" s="28"/>
      <c r="C6" s="28"/>
      <c r="D6" s="28"/>
      <c r="E6" s="28"/>
      <c r="F6" s="28"/>
      <c r="G6" s="28"/>
    </row>
    <row r="7" spans="1:13" x14ac:dyDescent="0.25">
      <c r="D7" s="9" t="s">
        <v>41</v>
      </c>
    </row>
    <row r="8" spans="1:13" x14ac:dyDescent="0.25">
      <c r="A8" t="s">
        <v>5</v>
      </c>
    </row>
    <row r="9" spans="1:13" x14ac:dyDescent="0.25">
      <c r="D9" s="2">
        <v>45108</v>
      </c>
      <c r="E9" s="2">
        <v>40360</v>
      </c>
      <c r="G9" s="2">
        <v>45474</v>
      </c>
      <c r="I9" s="2">
        <v>45839</v>
      </c>
      <c r="J9" s="2"/>
      <c r="K9" s="2"/>
    </row>
    <row r="10" spans="1:13" x14ac:dyDescent="0.25">
      <c r="D10" s="2">
        <v>45473</v>
      </c>
      <c r="E10" s="2">
        <v>40724</v>
      </c>
      <c r="G10" s="2">
        <v>45838</v>
      </c>
      <c r="I10" s="2">
        <v>46203</v>
      </c>
      <c r="J10" s="2"/>
      <c r="K10" s="2"/>
    </row>
    <row r="11" spans="1:13" x14ac:dyDescent="0.25">
      <c r="A11" s="4" t="s">
        <v>6</v>
      </c>
    </row>
    <row r="12" spans="1:13" x14ac:dyDescent="0.25">
      <c r="A12" t="s">
        <v>7</v>
      </c>
      <c r="D12" s="5">
        <v>32.549999999999997</v>
      </c>
      <c r="E12" s="6">
        <v>26.6</v>
      </c>
      <c r="F12" s="5"/>
      <c r="G12" s="5">
        <v>33.1</v>
      </c>
      <c r="I12" s="5">
        <f>33.1+0.55</f>
        <v>33.65</v>
      </c>
      <c r="K12" s="6"/>
    </row>
    <row r="13" spans="1:13" x14ac:dyDescent="0.25">
      <c r="A13" t="s">
        <v>8</v>
      </c>
      <c r="D13" s="5">
        <f>D12+(32.55*0.1)</f>
        <v>35.805</v>
      </c>
      <c r="E13" s="6">
        <v>28.6</v>
      </c>
      <c r="F13" s="5"/>
      <c r="G13" s="5">
        <f>G12+(33.1*0.1)</f>
        <v>36.410000000000004</v>
      </c>
      <c r="I13" s="5">
        <f>I12+(33.65*0.1)</f>
        <v>37.015000000000001</v>
      </c>
      <c r="J13" s="5"/>
      <c r="K13" s="6"/>
      <c r="L13" s="6"/>
    </row>
    <row r="14" spans="1:13" x14ac:dyDescent="0.25">
      <c r="A14" t="s">
        <v>9</v>
      </c>
      <c r="D14" s="5">
        <f>D12+1</f>
        <v>33.549999999999997</v>
      </c>
      <c r="E14" s="6">
        <v>26.85</v>
      </c>
      <c r="F14" s="5"/>
      <c r="G14" s="5">
        <f>G12+1</f>
        <v>34.1</v>
      </c>
      <c r="I14" s="5">
        <f>I12+1</f>
        <v>34.65</v>
      </c>
      <c r="J14" s="5"/>
      <c r="K14" s="6"/>
      <c r="M14" s="5"/>
    </row>
    <row r="15" spans="1:13" x14ac:dyDescent="0.25">
      <c r="A15" t="s">
        <v>10</v>
      </c>
      <c r="D15" s="5">
        <f>D12+1</f>
        <v>33.549999999999997</v>
      </c>
      <c r="E15" s="6">
        <v>26.85</v>
      </c>
      <c r="F15" s="5"/>
      <c r="G15" s="5">
        <f>G12+1</f>
        <v>34.1</v>
      </c>
      <c r="I15" s="5">
        <f>I12+1</f>
        <v>34.65</v>
      </c>
      <c r="J15" s="5"/>
      <c r="K15" s="6"/>
      <c r="L15" s="6"/>
    </row>
    <row r="16" spans="1:13" x14ac:dyDescent="0.25">
      <c r="A16" t="s">
        <v>11</v>
      </c>
      <c r="D16" s="5">
        <f>D15+(D15*0.1)</f>
        <v>36.904999999999994</v>
      </c>
      <c r="E16" s="6">
        <v>28.85</v>
      </c>
      <c r="F16" s="5"/>
      <c r="G16" s="5">
        <f>G15+(G15*0.1)</f>
        <v>37.510000000000005</v>
      </c>
      <c r="I16" s="5">
        <f>I15+(I15*0.1)</f>
        <v>38.114999999999995</v>
      </c>
      <c r="J16" s="5"/>
      <c r="K16" s="6"/>
    </row>
    <row r="17" spans="1:12" x14ac:dyDescent="0.25">
      <c r="A17" t="s">
        <v>12</v>
      </c>
      <c r="D17" s="5">
        <f>D12+(32.55*0.1)+1</f>
        <v>36.805</v>
      </c>
      <c r="E17" s="6">
        <v>29.15</v>
      </c>
      <c r="F17" s="5"/>
      <c r="G17" s="5">
        <f>G12+(33.1*0.1)+1</f>
        <v>37.410000000000004</v>
      </c>
      <c r="I17" s="5">
        <f>I12+(33.65*0.1)+1</f>
        <v>38.015000000000001</v>
      </c>
      <c r="K17" s="6"/>
    </row>
    <row r="18" spans="1:12" x14ac:dyDescent="0.25">
      <c r="A18" t="s">
        <v>13</v>
      </c>
      <c r="D18" s="5">
        <f>32.55+1</f>
        <v>33.549999999999997</v>
      </c>
      <c r="E18" s="6"/>
      <c r="F18" s="5"/>
      <c r="G18" s="5">
        <f>33.1+1</f>
        <v>34.1</v>
      </c>
      <c r="I18" s="5">
        <f>I12+1</f>
        <v>34.65</v>
      </c>
      <c r="K18" s="6"/>
    </row>
    <row r="19" spans="1:12" x14ac:dyDescent="0.25">
      <c r="D19" s="5"/>
      <c r="E19" s="6"/>
      <c r="F19" s="5"/>
      <c r="G19" s="5"/>
      <c r="I19" s="5"/>
      <c r="K19" s="6"/>
    </row>
    <row r="20" spans="1:12" x14ac:dyDescent="0.25">
      <c r="A20" s="4" t="s">
        <v>14</v>
      </c>
      <c r="D20" s="5"/>
      <c r="E20" s="6"/>
      <c r="F20" s="5"/>
      <c r="G20" s="5"/>
      <c r="I20" s="5"/>
      <c r="K20" s="6"/>
    </row>
    <row r="21" spans="1:12" x14ac:dyDescent="0.25">
      <c r="A21" t="s">
        <v>15</v>
      </c>
      <c r="D21" s="5">
        <f>21.52+1+0.7+1</f>
        <v>24.22</v>
      </c>
      <c r="E21" s="6">
        <v>16.62</v>
      </c>
      <c r="F21" s="5"/>
      <c r="G21" s="5">
        <f>21.52+1+0.7+1</f>
        <v>24.22</v>
      </c>
      <c r="I21" s="5">
        <f>21.52+1+0.7+1</f>
        <v>24.22</v>
      </c>
      <c r="J21" s="5"/>
      <c r="K21" s="6"/>
    </row>
    <row r="22" spans="1:12" x14ac:dyDescent="0.25">
      <c r="A22" t="s">
        <v>16</v>
      </c>
      <c r="D22" s="5">
        <f>6+0.5+0.75</f>
        <v>7.25</v>
      </c>
      <c r="E22" s="6">
        <v>6</v>
      </c>
      <c r="F22" s="5"/>
      <c r="G22" s="5">
        <f>6+0.5+0.75</f>
        <v>7.25</v>
      </c>
      <c r="I22" s="5">
        <f>6+0.5+0.75</f>
        <v>7.25</v>
      </c>
      <c r="K22" s="6"/>
      <c r="L22" s="5"/>
    </row>
    <row r="23" spans="1:12" x14ac:dyDescent="0.25">
      <c r="D23" s="5"/>
      <c r="E23" s="6"/>
      <c r="F23" s="5"/>
      <c r="G23" s="5"/>
      <c r="I23" s="5"/>
      <c r="K23" s="6"/>
      <c r="L23" s="5"/>
    </row>
    <row r="24" spans="1:12" x14ac:dyDescent="0.25">
      <c r="D24" s="5"/>
      <c r="E24" s="6"/>
      <c r="F24" s="5"/>
      <c r="G24" s="5"/>
      <c r="I24" s="5"/>
      <c r="J24" s="6"/>
      <c r="K24" s="6"/>
      <c r="L24" t="s">
        <v>8</v>
      </c>
    </row>
    <row r="25" spans="1:12" x14ac:dyDescent="0.25">
      <c r="A25" s="7" t="s">
        <v>17</v>
      </c>
      <c r="B25" t="s">
        <v>18</v>
      </c>
      <c r="E25" s="5"/>
      <c r="F25" s="5"/>
      <c r="G25" s="5"/>
      <c r="J25" s="5"/>
      <c r="L25" s="5">
        <f>I13+I21+I22</f>
        <v>68.484999999999999</v>
      </c>
    </row>
    <row r="26" spans="1:12" x14ac:dyDescent="0.25">
      <c r="A26" s="4" t="s">
        <v>19</v>
      </c>
      <c r="D26" s="5"/>
      <c r="E26" s="6"/>
      <c r="F26" s="5"/>
      <c r="G26" s="5"/>
      <c r="I26" s="5">
        <f>65.12*0.045</f>
        <v>2.9304000000000001</v>
      </c>
      <c r="K26" s="6"/>
    </row>
    <row r="27" spans="1:12" x14ac:dyDescent="0.25">
      <c r="A27" t="s">
        <v>20</v>
      </c>
      <c r="D27" s="20" t="s">
        <v>21</v>
      </c>
      <c r="E27" s="6">
        <v>2</v>
      </c>
      <c r="F27" s="5"/>
      <c r="G27" s="20" t="s">
        <v>21</v>
      </c>
      <c r="I27" s="20" t="s">
        <v>21</v>
      </c>
      <c r="K27" s="6"/>
      <c r="L27" s="5"/>
    </row>
    <row r="28" spans="1:12" x14ac:dyDescent="0.25">
      <c r="D28" s="9" t="s">
        <v>53</v>
      </c>
      <c r="E28" s="5"/>
      <c r="F28" s="5"/>
      <c r="G28" s="9" t="s">
        <v>56</v>
      </c>
      <c r="I28" s="9" t="s">
        <v>66</v>
      </c>
    </row>
    <row r="29" spans="1:12" x14ac:dyDescent="0.25">
      <c r="D29" s="9"/>
      <c r="E29" s="5"/>
      <c r="F29" s="5"/>
      <c r="G29" s="9"/>
      <c r="I29" s="9"/>
    </row>
    <row r="30" spans="1:12" x14ac:dyDescent="0.25">
      <c r="A30" t="s">
        <v>51</v>
      </c>
      <c r="D30" s="5">
        <f>0.85+0.3+0.25+0.15+0.15</f>
        <v>1.6999999999999997</v>
      </c>
      <c r="E30" s="6">
        <v>0.3</v>
      </c>
      <c r="F30" s="5"/>
      <c r="G30" s="5">
        <f>0.85+0.3+0.25+0.15+0.15</f>
        <v>1.6999999999999997</v>
      </c>
      <c r="I30" s="5">
        <f>0.85+0.3+0.25+0.15+0.15</f>
        <v>1.6999999999999997</v>
      </c>
      <c r="K30" s="6"/>
      <c r="L30" s="5"/>
    </row>
    <row r="31" spans="1:12" x14ac:dyDescent="0.25">
      <c r="A31" s="21" t="s">
        <v>52</v>
      </c>
      <c r="D31" s="5">
        <v>0.2</v>
      </c>
      <c r="E31" s="5"/>
      <c r="F31" s="5"/>
      <c r="G31" s="5">
        <v>0.2</v>
      </c>
      <c r="I31" s="5">
        <v>0.2</v>
      </c>
    </row>
    <row r="32" spans="1:12" x14ac:dyDescent="0.25">
      <c r="A32" t="s">
        <v>43</v>
      </c>
      <c r="D32" s="5">
        <v>0.05</v>
      </c>
      <c r="E32" s="6"/>
      <c r="F32" s="5"/>
      <c r="G32" s="5">
        <v>0.05</v>
      </c>
      <c r="I32" s="5">
        <v>0.05</v>
      </c>
    </row>
    <row r="33" spans="1:13" x14ac:dyDescent="0.25">
      <c r="A33" s="9" t="s">
        <v>44</v>
      </c>
      <c r="D33" s="5"/>
      <c r="E33" s="6"/>
      <c r="F33" s="5"/>
      <c r="G33" s="5"/>
      <c r="I33" s="5"/>
    </row>
    <row r="34" spans="1:13" x14ac:dyDescent="0.25">
      <c r="A34" s="12" t="s">
        <v>25</v>
      </c>
      <c r="B34" s="12"/>
      <c r="C34" s="12"/>
      <c r="D34" s="12"/>
      <c r="E34" s="12"/>
      <c r="F34" s="12"/>
      <c r="G34" s="12" t="s">
        <v>26</v>
      </c>
    </row>
    <row r="36" spans="1:13" x14ac:dyDescent="0.25">
      <c r="A36" s="22" t="s">
        <v>65</v>
      </c>
      <c r="B36" s="13"/>
      <c r="C36" s="13"/>
      <c r="D36" s="13"/>
      <c r="E36" s="13"/>
      <c r="F36" s="13"/>
    </row>
    <row r="37" spans="1:13" x14ac:dyDescent="0.25">
      <c r="C37" s="14"/>
      <c r="D37" s="14" t="s">
        <v>27</v>
      </c>
      <c r="E37" s="14"/>
      <c r="F37" s="14"/>
      <c r="G37" s="14"/>
      <c r="H37" s="14" t="s">
        <v>28</v>
      </c>
      <c r="I37" s="15"/>
      <c r="J37" s="14"/>
      <c r="K37" s="14"/>
      <c r="L37" s="14"/>
    </row>
    <row r="38" spans="1:13" x14ac:dyDescent="0.25">
      <c r="C38" s="16" t="s">
        <v>29</v>
      </c>
      <c r="D38" s="16" t="s">
        <v>30</v>
      </c>
      <c r="E38" s="16" t="s">
        <v>22</v>
      </c>
      <c r="F38" s="17" t="s">
        <v>42</v>
      </c>
      <c r="G38" s="16" t="s">
        <v>16</v>
      </c>
      <c r="H38" s="16" t="s">
        <v>31</v>
      </c>
      <c r="I38" s="17" t="s">
        <v>32</v>
      </c>
      <c r="J38" s="16"/>
      <c r="K38" s="16"/>
      <c r="L38" s="16"/>
    </row>
    <row r="39" spans="1:13" x14ac:dyDescent="0.25"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3" x14ac:dyDescent="0.25">
      <c r="A40" t="s">
        <v>33</v>
      </c>
      <c r="C40" s="5">
        <f>33.65*0.6</f>
        <v>20.189999999999998</v>
      </c>
      <c r="D40" s="5">
        <f>8.01+0.35+0.5</f>
        <v>8.86</v>
      </c>
      <c r="E40" s="5">
        <v>0.1</v>
      </c>
      <c r="F40" s="5">
        <v>0.1</v>
      </c>
      <c r="G40" s="5">
        <v>0</v>
      </c>
      <c r="H40" s="5">
        <v>0</v>
      </c>
      <c r="I40" s="5">
        <f t="shared" ref="I40:I41" si="0">C40+D40+G40+H40</f>
        <v>29.049999999999997</v>
      </c>
      <c r="J40" s="5"/>
      <c r="K40" s="5">
        <f t="shared" ref="K40:K45" si="1">D40+E40+H40+I40+0.05</f>
        <v>38.059999999999995</v>
      </c>
      <c r="L40" s="18">
        <f t="shared" ref="L40:L45" si="2">I40*1%</f>
        <v>0.29049999999999998</v>
      </c>
      <c r="M40" s="18"/>
    </row>
    <row r="41" spans="1:13" x14ac:dyDescent="0.25">
      <c r="A41" t="s">
        <v>34</v>
      </c>
      <c r="C41" s="5">
        <f>33.65*0.65</f>
        <v>21.872499999999999</v>
      </c>
      <c r="D41" s="5">
        <f>10.92+0.39+0.55</f>
        <v>11.860000000000001</v>
      </c>
      <c r="E41" s="5">
        <v>0.1</v>
      </c>
      <c r="F41" s="5">
        <v>0.1</v>
      </c>
      <c r="G41" s="5">
        <v>0</v>
      </c>
      <c r="H41" s="5">
        <v>0</v>
      </c>
      <c r="I41" s="5">
        <f t="shared" si="0"/>
        <v>33.732500000000002</v>
      </c>
      <c r="J41" s="5"/>
      <c r="K41" s="5">
        <f t="shared" si="1"/>
        <v>45.7425</v>
      </c>
      <c r="L41" s="18">
        <f t="shared" si="2"/>
        <v>0.33732500000000004</v>
      </c>
      <c r="M41" s="18"/>
    </row>
    <row r="42" spans="1:13" x14ac:dyDescent="0.25">
      <c r="A42" t="s">
        <v>35</v>
      </c>
      <c r="C42" s="5">
        <f>33.65*0.7</f>
        <v>23.554999999999996</v>
      </c>
      <c r="D42" s="5">
        <f>9.56+0.21+0.3</f>
        <v>10.070000000000002</v>
      </c>
      <c r="E42" s="5">
        <v>0.1</v>
      </c>
      <c r="F42" s="5">
        <v>0.1</v>
      </c>
      <c r="G42" s="5">
        <f>1.21+0.3</f>
        <v>1.51</v>
      </c>
      <c r="H42" s="5">
        <f>0.21+(0.21*0.025)</f>
        <v>0.21525</v>
      </c>
      <c r="I42" s="5">
        <f>C42+D42+G42</f>
        <v>35.134999999999998</v>
      </c>
      <c r="J42" s="5"/>
      <c r="K42" s="5">
        <f t="shared" si="1"/>
        <v>45.570249999999994</v>
      </c>
      <c r="L42" s="18">
        <f t="shared" si="2"/>
        <v>0.35135</v>
      </c>
      <c r="M42" s="18"/>
    </row>
    <row r="43" spans="1:13" x14ac:dyDescent="0.25">
      <c r="A43" t="s">
        <v>36</v>
      </c>
      <c r="C43" s="5">
        <f>33.65*0.75</f>
        <v>25.237499999999997</v>
      </c>
      <c r="D43" s="5">
        <f>11.61+0.23+0.33</f>
        <v>12.17</v>
      </c>
      <c r="E43" s="5">
        <v>0.1</v>
      </c>
      <c r="F43" s="5">
        <v>0.1</v>
      </c>
      <c r="G43" s="5">
        <f>2.23+0.33</f>
        <v>2.56</v>
      </c>
      <c r="H43" s="5">
        <f>0.31+(0.31*0.03)</f>
        <v>0.31929999999999997</v>
      </c>
      <c r="I43" s="5">
        <f>C43+D43+G43</f>
        <v>39.967500000000001</v>
      </c>
      <c r="J43" s="5"/>
      <c r="K43" s="5">
        <f t="shared" si="1"/>
        <v>52.6068</v>
      </c>
      <c r="L43" s="18">
        <f t="shared" si="2"/>
        <v>0.399675</v>
      </c>
      <c r="M43" s="18"/>
    </row>
    <row r="44" spans="1:13" x14ac:dyDescent="0.25">
      <c r="A44" t="s">
        <v>37</v>
      </c>
      <c r="C44" s="5">
        <f>33.65*0.8</f>
        <v>26.92</v>
      </c>
      <c r="D44" s="5">
        <f>12.55+0.26+0.38</f>
        <v>13.190000000000001</v>
      </c>
      <c r="E44" s="5">
        <v>0.15</v>
      </c>
      <c r="F44" s="5">
        <v>0.15</v>
      </c>
      <c r="G44" s="5">
        <f>3.26+0.38</f>
        <v>3.6399999999999997</v>
      </c>
      <c r="H44" s="5">
        <f>0.36+(0.36*0.035)</f>
        <v>0.37259999999999999</v>
      </c>
      <c r="I44" s="5">
        <f>C44+D44+G44</f>
        <v>43.75</v>
      </c>
      <c r="J44" s="5"/>
      <c r="K44" s="5">
        <f t="shared" si="1"/>
        <v>57.512599999999999</v>
      </c>
      <c r="L44" s="18">
        <f t="shared" si="2"/>
        <v>0.4375</v>
      </c>
      <c r="M44" s="18"/>
    </row>
    <row r="45" spans="1:13" x14ac:dyDescent="0.25">
      <c r="A45" t="s">
        <v>38</v>
      </c>
      <c r="C45" s="5">
        <f>33.65*0.85</f>
        <v>28.602499999999999</v>
      </c>
      <c r="D45" s="5">
        <f>14.64+0.3+0.43</f>
        <v>15.370000000000001</v>
      </c>
      <c r="E45" s="5">
        <v>0.15</v>
      </c>
      <c r="F45" s="5">
        <v>0.15</v>
      </c>
      <c r="G45" s="5">
        <f>4.3+0.43</f>
        <v>4.7299999999999995</v>
      </c>
      <c r="H45" s="5">
        <f>0.42+(0.42*0.04)</f>
        <v>0.43679999999999997</v>
      </c>
      <c r="I45" s="5">
        <f>C45+D45+G45</f>
        <v>48.702499999999993</v>
      </c>
      <c r="J45" s="5"/>
      <c r="K45" s="5">
        <f t="shared" si="1"/>
        <v>64.709299999999999</v>
      </c>
      <c r="L45" s="18">
        <f t="shared" si="2"/>
        <v>0.48702499999999993</v>
      </c>
      <c r="M45" s="18"/>
    </row>
    <row r="46" spans="1:13" x14ac:dyDescent="0.25">
      <c r="L46" s="5"/>
      <c r="M46" s="19"/>
    </row>
    <row r="47" spans="1:13" x14ac:dyDescent="0.25">
      <c r="A47" s="22" t="s">
        <v>61</v>
      </c>
      <c r="B47" s="13"/>
      <c r="C47" s="13"/>
      <c r="D47" s="13"/>
      <c r="E47" s="13"/>
      <c r="F47" s="13"/>
    </row>
    <row r="48" spans="1:13" x14ac:dyDescent="0.25">
      <c r="C48" s="14"/>
      <c r="D48" s="14" t="s">
        <v>27</v>
      </c>
      <c r="E48" s="14"/>
      <c r="F48" s="14"/>
      <c r="G48" s="14"/>
      <c r="H48" s="14" t="s">
        <v>28</v>
      </c>
      <c r="I48" s="15"/>
      <c r="J48" s="14"/>
      <c r="K48" s="14"/>
      <c r="L48" s="14"/>
    </row>
    <row r="49" spans="1:13" x14ac:dyDescent="0.25">
      <c r="C49" s="16" t="s">
        <v>29</v>
      </c>
      <c r="D49" s="16" t="s">
        <v>30</v>
      </c>
      <c r="E49" s="16" t="s">
        <v>22</v>
      </c>
      <c r="F49" s="17" t="s">
        <v>42</v>
      </c>
      <c r="G49" s="16" t="s">
        <v>16</v>
      </c>
      <c r="H49" s="16" t="s">
        <v>31</v>
      </c>
      <c r="I49" s="17" t="s">
        <v>32</v>
      </c>
      <c r="J49" s="16"/>
      <c r="K49" s="16"/>
      <c r="L49" s="16"/>
    </row>
    <row r="50" spans="1:13" x14ac:dyDescent="0.25"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x14ac:dyDescent="0.25">
      <c r="A51" t="s">
        <v>33</v>
      </c>
      <c r="C51" s="5">
        <f>33.1*0.6</f>
        <v>19.86</v>
      </c>
      <c r="D51" s="5">
        <f>8.01+0.35+0.5</f>
        <v>8.86</v>
      </c>
      <c r="E51" s="5">
        <v>0.1</v>
      </c>
      <c r="F51" s="5">
        <v>0.1</v>
      </c>
      <c r="G51" s="5">
        <v>0</v>
      </c>
      <c r="H51" s="5">
        <v>0</v>
      </c>
      <c r="I51" s="5">
        <f t="shared" ref="I51:I52" si="3">C51+D51+G51+H51</f>
        <v>28.72</v>
      </c>
      <c r="J51" s="5"/>
      <c r="K51" s="5">
        <f t="shared" ref="K51:K56" si="4">D51+E51+H51+I51+0.05</f>
        <v>37.729999999999997</v>
      </c>
      <c r="L51" s="18">
        <f t="shared" ref="L51:L56" si="5">I51*1%</f>
        <v>0.28720000000000001</v>
      </c>
      <c r="M51" s="18"/>
    </row>
    <row r="52" spans="1:13" x14ac:dyDescent="0.25">
      <c r="A52" t="s">
        <v>34</v>
      </c>
      <c r="C52" s="5">
        <f>33.1*0.65</f>
        <v>21.515000000000001</v>
      </c>
      <c r="D52" s="5">
        <f>10.92+0.39+0.55</f>
        <v>11.860000000000001</v>
      </c>
      <c r="E52" s="5">
        <v>0.1</v>
      </c>
      <c r="F52" s="5">
        <v>0.1</v>
      </c>
      <c r="G52" s="5">
        <v>0</v>
      </c>
      <c r="H52" s="5">
        <v>0</v>
      </c>
      <c r="I52" s="5">
        <f t="shared" si="3"/>
        <v>33.375</v>
      </c>
      <c r="J52" s="5"/>
      <c r="K52" s="5">
        <f t="shared" si="4"/>
        <v>45.384999999999998</v>
      </c>
      <c r="L52" s="18">
        <f t="shared" si="5"/>
        <v>0.33374999999999999</v>
      </c>
      <c r="M52" s="18"/>
    </row>
    <row r="53" spans="1:13" x14ac:dyDescent="0.25">
      <c r="A53" t="s">
        <v>35</v>
      </c>
      <c r="C53" s="5">
        <f>33.1*0.7</f>
        <v>23.169999999999998</v>
      </c>
      <c r="D53" s="5">
        <f>9.56+0.21+0.3</f>
        <v>10.070000000000002</v>
      </c>
      <c r="E53" s="5">
        <v>0.1</v>
      </c>
      <c r="F53" s="5">
        <v>0.1</v>
      </c>
      <c r="G53" s="5">
        <f>1.21+0.3</f>
        <v>1.51</v>
      </c>
      <c r="H53" s="5">
        <f>0.21+(0.21*0.025)</f>
        <v>0.21525</v>
      </c>
      <c r="I53" s="5">
        <f>C53+D53+G53</f>
        <v>34.75</v>
      </c>
      <c r="J53" s="5"/>
      <c r="K53" s="5">
        <f t="shared" si="4"/>
        <v>45.185249999999996</v>
      </c>
      <c r="L53" s="18">
        <f t="shared" si="5"/>
        <v>0.34750000000000003</v>
      </c>
      <c r="M53" s="18"/>
    </row>
    <row r="54" spans="1:13" x14ac:dyDescent="0.25">
      <c r="A54" t="s">
        <v>36</v>
      </c>
      <c r="C54" s="5">
        <f>33.1*0.75</f>
        <v>24.825000000000003</v>
      </c>
      <c r="D54" s="5">
        <f>11.61+0.23+0.33</f>
        <v>12.17</v>
      </c>
      <c r="E54" s="5">
        <v>0.1</v>
      </c>
      <c r="F54" s="5">
        <v>0.1</v>
      </c>
      <c r="G54" s="5">
        <f>2.23+0.33</f>
        <v>2.56</v>
      </c>
      <c r="H54" s="5">
        <f>0.31+(0.31*0.03)</f>
        <v>0.31929999999999997</v>
      </c>
      <c r="I54" s="5">
        <f>C54+D54+G54</f>
        <v>39.555000000000007</v>
      </c>
      <c r="J54" s="5"/>
      <c r="K54" s="5">
        <f t="shared" si="4"/>
        <v>52.194300000000005</v>
      </c>
      <c r="L54" s="18">
        <f t="shared" si="5"/>
        <v>0.39555000000000007</v>
      </c>
      <c r="M54" s="18"/>
    </row>
    <row r="55" spans="1:13" x14ac:dyDescent="0.25">
      <c r="A55" t="s">
        <v>37</v>
      </c>
      <c r="C55" s="5">
        <f>33.1*0.8</f>
        <v>26.480000000000004</v>
      </c>
      <c r="D55" s="5">
        <f>12.55+0.26+0.38</f>
        <v>13.190000000000001</v>
      </c>
      <c r="E55" s="5">
        <v>0.15</v>
      </c>
      <c r="F55" s="5">
        <v>0.15</v>
      </c>
      <c r="G55" s="5">
        <f>3.26+0.38</f>
        <v>3.6399999999999997</v>
      </c>
      <c r="H55" s="5">
        <f>0.36+(0.36*0.035)</f>
        <v>0.37259999999999999</v>
      </c>
      <c r="I55" s="5">
        <f>C55+D55+G55</f>
        <v>43.31</v>
      </c>
      <c r="J55" s="5"/>
      <c r="K55" s="5">
        <f t="shared" si="4"/>
        <v>57.072600000000001</v>
      </c>
      <c r="L55" s="18">
        <f t="shared" si="5"/>
        <v>0.43310000000000004</v>
      </c>
      <c r="M55" s="18"/>
    </row>
    <row r="56" spans="1:13" x14ac:dyDescent="0.25">
      <c r="A56" t="s">
        <v>38</v>
      </c>
      <c r="C56" s="5">
        <f>33.1*0.85</f>
        <v>28.135000000000002</v>
      </c>
      <c r="D56" s="5">
        <f>14.64+0.3+0.43</f>
        <v>15.370000000000001</v>
      </c>
      <c r="E56" s="5">
        <v>0.15</v>
      </c>
      <c r="F56" s="5">
        <v>0.15</v>
      </c>
      <c r="G56" s="5">
        <f>4.3+0.43</f>
        <v>4.7299999999999995</v>
      </c>
      <c r="H56" s="5">
        <f>0.42+(0.42*0.04)</f>
        <v>0.43679999999999997</v>
      </c>
      <c r="I56" s="5">
        <f>C56+D56+G56</f>
        <v>48.234999999999999</v>
      </c>
      <c r="J56" s="5"/>
      <c r="K56" s="5">
        <f t="shared" si="4"/>
        <v>64.241799999999998</v>
      </c>
      <c r="L56" s="18">
        <f t="shared" si="5"/>
        <v>0.48235</v>
      </c>
      <c r="M56" s="18"/>
    </row>
    <row r="57" spans="1:13" x14ac:dyDescent="0.25">
      <c r="M57" s="19"/>
    </row>
    <row r="64" spans="1:13" x14ac:dyDescent="0.25">
      <c r="A64" s="21" t="s">
        <v>45</v>
      </c>
      <c r="E64" s="5"/>
      <c r="F64" s="5"/>
      <c r="G64" s="5"/>
    </row>
  </sheetData>
  <sheetProtection algorithmName="SHA-512" hashValue="N/MI2TiiCqlx2Eyc16SMT8CBNexyiVQYBG46kF4rIgu/yXMtnDUjSNAUVSJNgit3HZi3QC0Vyz3GfQNJqmYfQg==" saltValue="0pt2zbz/MmYpkGBj9CcelA==" spinCount="100000" sheet="1" objects="1" scenarios="1"/>
  <mergeCells count="1">
    <mergeCell ref="A6:G6"/>
  </mergeCells>
  <pageMargins left="0.45" right="0.45" top="0.75" bottom="0.25" header="0.3" footer="0.3"/>
  <pageSetup scale="88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954A-8E12-4C28-BC92-F2DD75F984D3}">
  <sheetPr codeName="Sheet3">
    <pageSetUpPr fitToPage="1"/>
  </sheetPr>
  <dimension ref="A1:N55"/>
  <sheetViews>
    <sheetView topLeftCell="A25" workbookViewId="0">
      <selection activeCell="C45" sqref="C45"/>
    </sheetView>
  </sheetViews>
  <sheetFormatPr defaultRowHeight="15" x14ac:dyDescent="0.25"/>
  <cols>
    <col min="3" max="3" width="8.85546875" customWidth="1"/>
    <col min="4" max="4" width="16.42578125" customWidth="1"/>
    <col min="5" max="5" width="10.42578125" customWidth="1"/>
    <col min="6" max="6" width="13.28515625" customWidth="1"/>
    <col min="7" max="7" width="12.28515625" customWidth="1"/>
    <col min="8" max="8" width="17.140625" customWidth="1"/>
    <col min="9" max="9" width="13" customWidth="1"/>
    <col min="10" max="10" width="1.5703125" customWidth="1"/>
    <col min="11" max="11" width="11.7109375" bestFit="1" customWidth="1"/>
    <col min="12" max="12" width="1.7109375" customWidth="1"/>
    <col min="259" max="259" width="8.85546875" customWidth="1"/>
    <col min="260" max="260" width="16.42578125" customWidth="1"/>
    <col min="261" max="261" width="10.42578125" customWidth="1"/>
    <col min="262" max="262" width="13.28515625" customWidth="1"/>
    <col min="263" max="263" width="12.28515625" customWidth="1"/>
    <col min="264" max="264" width="17.140625" customWidth="1"/>
    <col min="265" max="265" width="13" customWidth="1"/>
    <col min="266" max="266" width="1.5703125" customWidth="1"/>
    <col min="267" max="267" width="11.7109375" bestFit="1" customWidth="1"/>
    <col min="268" max="268" width="1.7109375" customWidth="1"/>
    <col min="515" max="515" width="8.85546875" customWidth="1"/>
    <col min="516" max="516" width="16.42578125" customWidth="1"/>
    <col min="517" max="517" width="10.42578125" customWidth="1"/>
    <col min="518" max="518" width="13.28515625" customWidth="1"/>
    <col min="519" max="519" width="12.28515625" customWidth="1"/>
    <col min="520" max="520" width="17.140625" customWidth="1"/>
    <col min="521" max="521" width="13" customWidth="1"/>
    <col min="522" max="522" width="1.5703125" customWidth="1"/>
    <col min="523" max="523" width="11.7109375" bestFit="1" customWidth="1"/>
    <col min="524" max="524" width="1.7109375" customWidth="1"/>
    <col min="771" max="771" width="8.85546875" customWidth="1"/>
    <col min="772" max="772" width="16.42578125" customWidth="1"/>
    <col min="773" max="773" width="10.42578125" customWidth="1"/>
    <col min="774" max="774" width="13.28515625" customWidth="1"/>
    <col min="775" max="775" width="12.28515625" customWidth="1"/>
    <col min="776" max="776" width="17.140625" customWidth="1"/>
    <col min="777" max="777" width="13" customWidth="1"/>
    <col min="778" max="778" width="1.5703125" customWidth="1"/>
    <col min="779" max="779" width="11.7109375" bestFit="1" customWidth="1"/>
    <col min="780" max="780" width="1.7109375" customWidth="1"/>
    <col min="1027" max="1027" width="8.85546875" customWidth="1"/>
    <col min="1028" max="1028" width="16.42578125" customWidth="1"/>
    <col min="1029" max="1029" width="10.42578125" customWidth="1"/>
    <col min="1030" max="1030" width="13.28515625" customWidth="1"/>
    <col min="1031" max="1031" width="12.28515625" customWidth="1"/>
    <col min="1032" max="1032" width="17.140625" customWidth="1"/>
    <col min="1033" max="1033" width="13" customWidth="1"/>
    <col min="1034" max="1034" width="1.5703125" customWidth="1"/>
    <col min="1035" max="1035" width="11.7109375" bestFit="1" customWidth="1"/>
    <col min="1036" max="1036" width="1.7109375" customWidth="1"/>
    <col min="1283" max="1283" width="8.85546875" customWidth="1"/>
    <col min="1284" max="1284" width="16.42578125" customWidth="1"/>
    <col min="1285" max="1285" width="10.42578125" customWidth="1"/>
    <col min="1286" max="1286" width="13.28515625" customWidth="1"/>
    <col min="1287" max="1287" width="12.28515625" customWidth="1"/>
    <col min="1288" max="1288" width="17.140625" customWidth="1"/>
    <col min="1289" max="1289" width="13" customWidth="1"/>
    <col min="1290" max="1290" width="1.5703125" customWidth="1"/>
    <col min="1291" max="1291" width="11.7109375" bestFit="1" customWidth="1"/>
    <col min="1292" max="1292" width="1.7109375" customWidth="1"/>
    <col min="1539" max="1539" width="8.85546875" customWidth="1"/>
    <col min="1540" max="1540" width="16.42578125" customWidth="1"/>
    <col min="1541" max="1541" width="10.42578125" customWidth="1"/>
    <col min="1542" max="1542" width="13.28515625" customWidth="1"/>
    <col min="1543" max="1543" width="12.28515625" customWidth="1"/>
    <col min="1544" max="1544" width="17.140625" customWidth="1"/>
    <col min="1545" max="1545" width="13" customWidth="1"/>
    <col min="1546" max="1546" width="1.5703125" customWidth="1"/>
    <col min="1547" max="1547" width="11.7109375" bestFit="1" customWidth="1"/>
    <col min="1548" max="1548" width="1.7109375" customWidth="1"/>
    <col min="1795" max="1795" width="8.85546875" customWidth="1"/>
    <col min="1796" max="1796" width="16.42578125" customWidth="1"/>
    <col min="1797" max="1797" width="10.42578125" customWidth="1"/>
    <col min="1798" max="1798" width="13.28515625" customWidth="1"/>
    <col min="1799" max="1799" width="12.28515625" customWidth="1"/>
    <col min="1800" max="1800" width="17.140625" customWidth="1"/>
    <col min="1801" max="1801" width="13" customWidth="1"/>
    <col min="1802" max="1802" width="1.5703125" customWidth="1"/>
    <col min="1803" max="1803" width="11.7109375" bestFit="1" customWidth="1"/>
    <col min="1804" max="1804" width="1.7109375" customWidth="1"/>
    <col min="2051" max="2051" width="8.85546875" customWidth="1"/>
    <col min="2052" max="2052" width="16.42578125" customWidth="1"/>
    <col min="2053" max="2053" width="10.42578125" customWidth="1"/>
    <col min="2054" max="2054" width="13.28515625" customWidth="1"/>
    <col min="2055" max="2055" width="12.28515625" customWidth="1"/>
    <col min="2056" max="2056" width="17.140625" customWidth="1"/>
    <col min="2057" max="2057" width="13" customWidth="1"/>
    <col min="2058" max="2058" width="1.5703125" customWidth="1"/>
    <col min="2059" max="2059" width="11.7109375" bestFit="1" customWidth="1"/>
    <col min="2060" max="2060" width="1.7109375" customWidth="1"/>
    <col min="2307" max="2307" width="8.85546875" customWidth="1"/>
    <col min="2308" max="2308" width="16.42578125" customWidth="1"/>
    <col min="2309" max="2309" width="10.42578125" customWidth="1"/>
    <col min="2310" max="2310" width="13.28515625" customWidth="1"/>
    <col min="2311" max="2311" width="12.28515625" customWidth="1"/>
    <col min="2312" max="2312" width="17.140625" customWidth="1"/>
    <col min="2313" max="2313" width="13" customWidth="1"/>
    <col min="2314" max="2314" width="1.5703125" customWidth="1"/>
    <col min="2315" max="2315" width="11.7109375" bestFit="1" customWidth="1"/>
    <col min="2316" max="2316" width="1.7109375" customWidth="1"/>
    <col min="2563" max="2563" width="8.85546875" customWidth="1"/>
    <col min="2564" max="2564" width="16.42578125" customWidth="1"/>
    <col min="2565" max="2565" width="10.42578125" customWidth="1"/>
    <col min="2566" max="2566" width="13.28515625" customWidth="1"/>
    <col min="2567" max="2567" width="12.28515625" customWidth="1"/>
    <col min="2568" max="2568" width="17.140625" customWidth="1"/>
    <col min="2569" max="2569" width="13" customWidth="1"/>
    <col min="2570" max="2570" width="1.5703125" customWidth="1"/>
    <col min="2571" max="2571" width="11.7109375" bestFit="1" customWidth="1"/>
    <col min="2572" max="2572" width="1.7109375" customWidth="1"/>
    <col min="2819" max="2819" width="8.85546875" customWidth="1"/>
    <col min="2820" max="2820" width="16.42578125" customWidth="1"/>
    <col min="2821" max="2821" width="10.42578125" customWidth="1"/>
    <col min="2822" max="2822" width="13.28515625" customWidth="1"/>
    <col min="2823" max="2823" width="12.28515625" customWidth="1"/>
    <col min="2824" max="2824" width="17.140625" customWidth="1"/>
    <col min="2825" max="2825" width="13" customWidth="1"/>
    <col min="2826" max="2826" width="1.5703125" customWidth="1"/>
    <col min="2827" max="2827" width="11.7109375" bestFit="1" customWidth="1"/>
    <col min="2828" max="2828" width="1.7109375" customWidth="1"/>
    <col min="3075" max="3075" width="8.85546875" customWidth="1"/>
    <col min="3076" max="3076" width="16.42578125" customWidth="1"/>
    <col min="3077" max="3077" width="10.42578125" customWidth="1"/>
    <col min="3078" max="3078" width="13.28515625" customWidth="1"/>
    <col min="3079" max="3079" width="12.28515625" customWidth="1"/>
    <col min="3080" max="3080" width="17.140625" customWidth="1"/>
    <col min="3081" max="3081" width="13" customWidth="1"/>
    <col min="3082" max="3082" width="1.5703125" customWidth="1"/>
    <col min="3083" max="3083" width="11.7109375" bestFit="1" customWidth="1"/>
    <col min="3084" max="3084" width="1.7109375" customWidth="1"/>
    <col min="3331" max="3331" width="8.85546875" customWidth="1"/>
    <col min="3332" max="3332" width="16.42578125" customWidth="1"/>
    <col min="3333" max="3333" width="10.42578125" customWidth="1"/>
    <col min="3334" max="3334" width="13.28515625" customWidth="1"/>
    <col min="3335" max="3335" width="12.28515625" customWidth="1"/>
    <col min="3336" max="3336" width="17.140625" customWidth="1"/>
    <col min="3337" max="3337" width="13" customWidth="1"/>
    <col min="3338" max="3338" width="1.5703125" customWidth="1"/>
    <col min="3339" max="3339" width="11.7109375" bestFit="1" customWidth="1"/>
    <col min="3340" max="3340" width="1.7109375" customWidth="1"/>
    <col min="3587" max="3587" width="8.85546875" customWidth="1"/>
    <col min="3588" max="3588" width="16.42578125" customWidth="1"/>
    <col min="3589" max="3589" width="10.42578125" customWidth="1"/>
    <col min="3590" max="3590" width="13.28515625" customWidth="1"/>
    <col min="3591" max="3591" width="12.28515625" customWidth="1"/>
    <col min="3592" max="3592" width="17.140625" customWidth="1"/>
    <col min="3593" max="3593" width="13" customWidth="1"/>
    <col min="3594" max="3594" width="1.5703125" customWidth="1"/>
    <col min="3595" max="3595" width="11.7109375" bestFit="1" customWidth="1"/>
    <col min="3596" max="3596" width="1.7109375" customWidth="1"/>
    <col min="3843" max="3843" width="8.85546875" customWidth="1"/>
    <col min="3844" max="3844" width="16.42578125" customWidth="1"/>
    <col min="3845" max="3845" width="10.42578125" customWidth="1"/>
    <col min="3846" max="3846" width="13.28515625" customWidth="1"/>
    <col min="3847" max="3847" width="12.28515625" customWidth="1"/>
    <col min="3848" max="3848" width="17.140625" customWidth="1"/>
    <col min="3849" max="3849" width="13" customWidth="1"/>
    <col min="3850" max="3850" width="1.5703125" customWidth="1"/>
    <col min="3851" max="3851" width="11.7109375" bestFit="1" customWidth="1"/>
    <col min="3852" max="3852" width="1.7109375" customWidth="1"/>
    <col min="4099" max="4099" width="8.85546875" customWidth="1"/>
    <col min="4100" max="4100" width="16.42578125" customWidth="1"/>
    <col min="4101" max="4101" width="10.42578125" customWidth="1"/>
    <col min="4102" max="4102" width="13.28515625" customWidth="1"/>
    <col min="4103" max="4103" width="12.28515625" customWidth="1"/>
    <col min="4104" max="4104" width="17.140625" customWidth="1"/>
    <col min="4105" max="4105" width="13" customWidth="1"/>
    <col min="4106" max="4106" width="1.5703125" customWidth="1"/>
    <col min="4107" max="4107" width="11.7109375" bestFit="1" customWidth="1"/>
    <col min="4108" max="4108" width="1.7109375" customWidth="1"/>
    <col min="4355" max="4355" width="8.85546875" customWidth="1"/>
    <col min="4356" max="4356" width="16.42578125" customWidth="1"/>
    <col min="4357" max="4357" width="10.42578125" customWidth="1"/>
    <col min="4358" max="4358" width="13.28515625" customWidth="1"/>
    <col min="4359" max="4359" width="12.28515625" customWidth="1"/>
    <col min="4360" max="4360" width="17.140625" customWidth="1"/>
    <col min="4361" max="4361" width="13" customWidth="1"/>
    <col min="4362" max="4362" width="1.5703125" customWidth="1"/>
    <col min="4363" max="4363" width="11.7109375" bestFit="1" customWidth="1"/>
    <col min="4364" max="4364" width="1.7109375" customWidth="1"/>
    <col min="4611" max="4611" width="8.85546875" customWidth="1"/>
    <col min="4612" max="4612" width="16.42578125" customWidth="1"/>
    <col min="4613" max="4613" width="10.42578125" customWidth="1"/>
    <col min="4614" max="4614" width="13.28515625" customWidth="1"/>
    <col min="4615" max="4615" width="12.28515625" customWidth="1"/>
    <col min="4616" max="4616" width="17.140625" customWidth="1"/>
    <col min="4617" max="4617" width="13" customWidth="1"/>
    <col min="4618" max="4618" width="1.5703125" customWidth="1"/>
    <col min="4619" max="4619" width="11.7109375" bestFit="1" customWidth="1"/>
    <col min="4620" max="4620" width="1.7109375" customWidth="1"/>
    <col min="4867" max="4867" width="8.85546875" customWidth="1"/>
    <col min="4868" max="4868" width="16.42578125" customWidth="1"/>
    <col min="4869" max="4869" width="10.42578125" customWidth="1"/>
    <col min="4870" max="4870" width="13.28515625" customWidth="1"/>
    <col min="4871" max="4871" width="12.28515625" customWidth="1"/>
    <col min="4872" max="4872" width="17.140625" customWidth="1"/>
    <col min="4873" max="4873" width="13" customWidth="1"/>
    <col min="4874" max="4874" width="1.5703125" customWidth="1"/>
    <col min="4875" max="4875" width="11.7109375" bestFit="1" customWidth="1"/>
    <col min="4876" max="4876" width="1.7109375" customWidth="1"/>
    <col min="5123" max="5123" width="8.85546875" customWidth="1"/>
    <col min="5124" max="5124" width="16.42578125" customWidth="1"/>
    <col min="5125" max="5125" width="10.42578125" customWidth="1"/>
    <col min="5126" max="5126" width="13.28515625" customWidth="1"/>
    <col min="5127" max="5127" width="12.28515625" customWidth="1"/>
    <col min="5128" max="5128" width="17.140625" customWidth="1"/>
    <col min="5129" max="5129" width="13" customWidth="1"/>
    <col min="5130" max="5130" width="1.5703125" customWidth="1"/>
    <col min="5131" max="5131" width="11.7109375" bestFit="1" customWidth="1"/>
    <col min="5132" max="5132" width="1.7109375" customWidth="1"/>
    <col min="5379" max="5379" width="8.85546875" customWidth="1"/>
    <col min="5380" max="5380" width="16.42578125" customWidth="1"/>
    <col min="5381" max="5381" width="10.42578125" customWidth="1"/>
    <col min="5382" max="5382" width="13.28515625" customWidth="1"/>
    <col min="5383" max="5383" width="12.28515625" customWidth="1"/>
    <col min="5384" max="5384" width="17.140625" customWidth="1"/>
    <col min="5385" max="5385" width="13" customWidth="1"/>
    <col min="5386" max="5386" width="1.5703125" customWidth="1"/>
    <col min="5387" max="5387" width="11.7109375" bestFit="1" customWidth="1"/>
    <col min="5388" max="5388" width="1.7109375" customWidth="1"/>
    <col min="5635" max="5635" width="8.85546875" customWidth="1"/>
    <col min="5636" max="5636" width="16.42578125" customWidth="1"/>
    <col min="5637" max="5637" width="10.42578125" customWidth="1"/>
    <col min="5638" max="5638" width="13.28515625" customWidth="1"/>
    <col min="5639" max="5639" width="12.28515625" customWidth="1"/>
    <col min="5640" max="5640" width="17.140625" customWidth="1"/>
    <col min="5641" max="5641" width="13" customWidth="1"/>
    <col min="5642" max="5642" width="1.5703125" customWidth="1"/>
    <col min="5643" max="5643" width="11.7109375" bestFit="1" customWidth="1"/>
    <col min="5644" max="5644" width="1.7109375" customWidth="1"/>
    <col min="5891" max="5891" width="8.85546875" customWidth="1"/>
    <col min="5892" max="5892" width="16.42578125" customWidth="1"/>
    <col min="5893" max="5893" width="10.42578125" customWidth="1"/>
    <col min="5894" max="5894" width="13.28515625" customWidth="1"/>
    <col min="5895" max="5895" width="12.28515625" customWidth="1"/>
    <col min="5896" max="5896" width="17.140625" customWidth="1"/>
    <col min="5897" max="5897" width="13" customWidth="1"/>
    <col min="5898" max="5898" width="1.5703125" customWidth="1"/>
    <col min="5899" max="5899" width="11.7109375" bestFit="1" customWidth="1"/>
    <col min="5900" max="5900" width="1.7109375" customWidth="1"/>
    <col min="6147" max="6147" width="8.85546875" customWidth="1"/>
    <col min="6148" max="6148" width="16.42578125" customWidth="1"/>
    <col min="6149" max="6149" width="10.42578125" customWidth="1"/>
    <col min="6150" max="6150" width="13.28515625" customWidth="1"/>
    <col min="6151" max="6151" width="12.28515625" customWidth="1"/>
    <col min="6152" max="6152" width="17.140625" customWidth="1"/>
    <col min="6153" max="6153" width="13" customWidth="1"/>
    <col min="6154" max="6154" width="1.5703125" customWidth="1"/>
    <col min="6155" max="6155" width="11.7109375" bestFit="1" customWidth="1"/>
    <col min="6156" max="6156" width="1.7109375" customWidth="1"/>
    <col min="6403" max="6403" width="8.85546875" customWidth="1"/>
    <col min="6404" max="6404" width="16.42578125" customWidth="1"/>
    <col min="6405" max="6405" width="10.42578125" customWidth="1"/>
    <col min="6406" max="6406" width="13.28515625" customWidth="1"/>
    <col min="6407" max="6407" width="12.28515625" customWidth="1"/>
    <col min="6408" max="6408" width="17.140625" customWidth="1"/>
    <col min="6409" max="6409" width="13" customWidth="1"/>
    <col min="6410" max="6410" width="1.5703125" customWidth="1"/>
    <col min="6411" max="6411" width="11.7109375" bestFit="1" customWidth="1"/>
    <col min="6412" max="6412" width="1.7109375" customWidth="1"/>
    <col min="6659" max="6659" width="8.85546875" customWidth="1"/>
    <col min="6660" max="6660" width="16.42578125" customWidth="1"/>
    <col min="6661" max="6661" width="10.42578125" customWidth="1"/>
    <col min="6662" max="6662" width="13.28515625" customWidth="1"/>
    <col min="6663" max="6663" width="12.28515625" customWidth="1"/>
    <col min="6664" max="6664" width="17.140625" customWidth="1"/>
    <col min="6665" max="6665" width="13" customWidth="1"/>
    <col min="6666" max="6666" width="1.5703125" customWidth="1"/>
    <col min="6667" max="6667" width="11.7109375" bestFit="1" customWidth="1"/>
    <col min="6668" max="6668" width="1.7109375" customWidth="1"/>
    <col min="6915" max="6915" width="8.85546875" customWidth="1"/>
    <col min="6916" max="6916" width="16.42578125" customWidth="1"/>
    <col min="6917" max="6917" width="10.42578125" customWidth="1"/>
    <col min="6918" max="6918" width="13.28515625" customWidth="1"/>
    <col min="6919" max="6919" width="12.28515625" customWidth="1"/>
    <col min="6920" max="6920" width="17.140625" customWidth="1"/>
    <col min="6921" max="6921" width="13" customWidth="1"/>
    <col min="6922" max="6922" width="1.5703125" customWidth="1"/>
    <col min="6923" max="6923" width="11.7109375" bestFit="1" customWidth="1"/>
    <col min="6924" max="6924" width="1.7109375" customWidth="1"/>
    <col min="7171" max="7171" width="8.85546875" customWidth="1"/>
    <col min="7172" max="7172" width="16.42578125" customWidth="1"/>
    <col min="7173" max="7173" width="10.42578125" customWidth="1"/>
    <col min="7174" max="7174" width="13.28515625" customWidth="1"/>
    <col min="7175" max="7175" width="12.28515625" customWidth="1"/>
    <col min="7176" max="7176" width="17.140625" customWidth="1"/>
    <col min="7177" max="7177" width="13" customWidth="1"/>
    <col min="7178" max="7178" width="1.5703125" customWidth="1"/>
    <col min="7179" max="7179" width="11.7109375" bestFit="1" customWidth="1"/>
    <col min="7180" max="7180" width="1.7109375" customWidth="1"/>
    <col min="7427" max="7427" width="8.85546875" customWidth="1"/>
    <col min="7428" max="7428" width="16.42578125" customWidth="1"/>
    <col min="7429" max="7429" width="10.42578125" customWidth="1"/>
    <col min="7430" max="7430" width="13.28515625" customWidth="1"/>
    <col min="7431" max="7431" width="12.28515625" customWidth="1"/>
    <col min="7432" max="7432" width="17.140625" customWidth="1"/>
    <col min="7433" max="7433" width="13" customWidth="1"/>
    <col min="7434" max="7434" width="1.5703125" customWidth="1"/>
    <col min="7435" max="7435" width="11.7109375" bestFit="1" customWidth="1"/>
    <col min="7436" max="7436" width="1.7109375" customWidth="1"/>
    <col min="7683" max="7683" width="8.85546875" customWidth="1"/>
    <col min="7684" max="7684" width="16.42578125" customWidth="1"/>
    <col min="7685" max="7685" width="10.42578125" customWidth="1"/>
    <col min="7686" max="7686" width="13.28515625" customWidth="1"/>
    <col min="7687" max="7687" width="12.28515625" customWidth="1"/>
    <col min="7688" max="7688" width="17.140625" customWidth="1"/>
    <col min="7689" max="7689" width="13" customWidth="1"/>
    <col min="7690" max="7690" width="1.5703125" customWidth="1"/>
    <col min="7691" max="7691" width="11.7109375" bestFit="1" customWidth="1"/>
    <col min="7692" max="7692" width="1.7109375" customWidth="1"/>
    <col min="7939" max="7939" width="8.85546875" customWidth="1"/>
    <col min="7940" max="7940" width="16.42578125" customWidth="1"/>
    <col min="7941" max="7941" width="10.42578125" customWidth="1"/>
    <col min="7942" max="7942" width="13.28515625" customWidth="1"/>
    <col min="7943" max="7943" width="12.28515625" customWidth="1"/>
    <col min="7944" max="7944" width="17.140625" customWidth="1"/>
    <col min="7945" max="7945" width="13" customWidth="1"/>
    <col min="7946" max="7946" width="1.5703125" customWidth="1"/>
    <col min="7947" max="7947" width="11.7109375" bestFit="1" customWidth="1"/>
    <col min="7948" max="7948" width="1.7109375" customWidth="1"/>
    <col min="8195" max="8195" width="8.85546875" customWidth="1"/>
    <col min="8196" max="8196" width="16.42578125" customWidth="1"/>
    <col min="8197" max="8197" width="10.42578125" customWidth="1"/>
    <col min="8198" max="8198" width="13.28515625" customWidth="1"/>
    <col min="8199" max="8199" width="12.28515625" customWidth="1"/>
    <col min="8200" max="8200" width="17.140625" customWidth="1"/>
    <col min="8201" max="8201" width="13" customWidth="1"/>
    <col min="8202" max="8202" width="1.5703125" customWidth="1"/>
    <col min="8203" max="8203" width="11.7109375" bestFit="1" customWidth="1"/>
    <col min="8204" max="8204" width="1.7109375" customWidth="1"/>
    <col min="8451" max="8451" width="8.85546875" customWidth="1"/>
    <col min="8452" max="8452" width="16.42578125" customWidth="1"/>
    <col min="8453" max="8453" width="10.42578125" customWidth="1"/>
    <col min="8454" max="8454" width="13.28515625" customWidth="1"/>
    <col min="8455" max="8455" width="12.28515625" customWidth="1"/>
    <col min="8456" max="8456" width="17.140625" customWidth="1"/>
    <col min="8457" max="8457" width="13" customWidth="1"/>
    <col min="8458" max="8458" width="1.5703125" customWidth="1"/>
    <col min="8459" max="8459" width="11.7109375" bestFit="1" customWidth="1"/>
    <col min="8460" max="8460" width="1.7109375" customWidth="1"/>
    <col min="8707" max="8707" width="8.85546875" customWidth="1"/>
    <col min="8708" max="8708" width="16.42578125" customWidth="1"/>
    <col min="8709" max="8709" width="10.42578125" customWidth="1"/>
    <col min="8710" max="8710" width="13.28515625" customWidth="1"/>
    <col min="8711" max="8711" width="12.28515625" customWidth="1"/>
    <col min="8712" max="8712" width="17.140625" customWidth="1"/>
    <col min="8713" max="8713" width="13" customWidth="1"/>
    <col min="8714" max="8714" width="1.5703125" customWidth="1"/>
    <col min="8715" max="8715" width="11.7109375" bestFit="1" customWidth="1"/>
    <col min="8716" max="8716" width="1.7109375" customWidth="1"/>
    <col min="8963" max="8963" width="8.85546875" customWidth="1"/>
    <col min="8964" max="8964" width="16.42578125" customWidth="1"/>
    <col min="8965" max="8965" width="10.42578125" customWidth="1"/>
    <col min="8966" max="8966" width="13.28515625" customWidth="1"/>
    <col min="8967" max="8967" width="12.28515625" customWidth="1"/>
    <col min="8968" max="8968" width="17.140625" customWidth="1"/>
    <col min="8969" max="8969" width="13" customWidth="1"/>
    <col min="8970" max="8970" width="1.5703125" customWidth="1"/>
    <col min="8971" max="8971" width="11.7109375" bestFit="1" customWidth="1"/>
    <col min="8972" max="8972" width="1.7109375" customWidth="1"/>
    <col min="9219" max="9219" width="8.85546875" customWidth="1"/>
    <col min="9220" max="9220" width="16.42578125" customWidth="1"/>
    <col min="9221" max="9221" width="10.42578125" customWidth="1"/>
    <col min="9222" max="9222" width="13.28515625" customWidth="1"/>
    <col min="9223" max="9223" width="12.28515625" customWidth="1"/>
    <col min="9224" max="9224" width="17.140625" customWidth="1"/>
    <col min="9225" max="9225" width="13" customWidth="1"/>
    <col min="9226" max="9226" width="1.5703125" customWidth="1"/>
    <col min="9227" max="9227" width="11.7109375" bestFit="1" customWidth="1"/>
    <col min="9228" max="9228" width="1.7109375" customWidth="1"/>
    <col min="9475" max="9475" width="8.85546875" customWidth="1"/>
    <col min="9476" max="9476" width="16.42578125" customWidth="1"/>
    <col min="9477" max="9477" width="10.42578125" customWidth="1"/>
    <col min="9478" max="9478" width="13.28515625" customWidth="1"/>
    <col min="9479" max="9479" width="12.28515625" customWidth="1"/>
    <col min="9480" max="9480" width="17.140625" customWidth="1"/>
    <col min="9481" max="9481" width="13" customWidth="1"/>
    <col min="9482" max="9482" width="1.5703125" customWidth="1"/>
    <col min="9483" max="9483" width="11.7109375" bestFit="1" customWidth="1"/>
    <col min="9484" max="9484" width="1.7109375" customWidth="1"/>
    <col min="9731" max="9731" width="8.85546875" customWidth="1"/>
    <col min="9732" max="9732" width="16.42578125" customWidth="1"/>
    <col min="9733" max="9733" width="10.42578125" customWidth="1"/>
    <col min="9734" max="9734" width="13.28515625" customWidth="1"/>
    <col min="9735" max="9735" width="12.28515625" customWidth="1"/>
    <col min="9736" max="9736" width="17.140625" customWidth="1"/>
    <col min="9737" max="9737" width="13" customWidth="1"/>
    <col min="9738" max="9738" width="1.5703125" customWidth="1"/>
    <col min="9739" max="9739" width="11.7109375" bestFit="1" customWidth="1"/>
    <col min="9740" max="9740" width="1.7109375" customWidth="1"/>
    <col min="9987" max="9987" width="8.85546875" customWidth="1"/>
    <col min="9988" max="9988" width="16.42578125" customWidth="1"/>
    <col min="9989" max="9989" width="10.42578125" customWidth="1"/>
    <col min="9990" max="9990" width="13.28515625" customWidth="1"/>
    <col min="9991" max="9991" width="12.28515625" customWidth="1"/>
    <col min="9992" max="9992" width="17.140625" customWidth="1"/>
    <col min="9993" max="9993" width="13" customWidth="1"/>
    <col min="9994" max="9994" width="1.5703125" customWidth="1"/>
    <col min="9995" max="9995" width="11.7109375" bestFit="1" customWidth="1"/>
    <col min="9996" max="9996" width="1.7109375" customWidth="1"/>
    <col min="10243" max="10243" width="8.85546875" customWidth="1"/>
    <col min="10244" max="10244" width="16.42578125" customWidth="1"/>
    <col min="10245" max="10245" width="10.42578125" customWidth="1"/>
    <col min="10246" max="10246" width="13.28515625" customWidth="1"/>
    <col min="10247" max="10247" width="12.28515625" customWidth="1"/>
    <col min="10248" max="10248" width="17.140625" customWidth="1"/>
    <col min="10249" max="10249" width="13" customWidth="1"/>
    <col min="10250" max="10250" width="1.5703125" customWidth="1"/>
    <col min="10251" max="10251" width="11.7109375" bestFit="1" customWidth="1"/>
    <col min="10252" max="10252" width="1.7109375" customWidth="1"/>
    <col min="10499" max="10499" width="8.85546875" customWidth="1"/>
    <col min="10500" max="10500" width="16.42578125" customWidth="1"/>
    <col min="10501" max="10501" width="10.42578125" customWidth="1"/>
    <col min="10502" max="10502" width="13.28515625" customWidth="1"/>
    <col min="10503" max="10503" width="12.28515625" customWidth="1"/>
    <col min="10504" max="10504" width="17.140625" customWidth="1"/>
    <col min="10505" max="10505" width="13" customWidth="1"/>
    <col min="10506" max="10506" width="1.5703125" customWidth="1"/>
    <col min="10507" max="10507" width="11.7109375" bestFit="1" customWidth="1"/>
    <col min="10508" max="10508" width="1.7109375" customWidth="1"/>
    <col min="10755" max="10755" width="8.85546875" customWidth="1"/>
    <col min="10756" max="10756" width="16.42578125" customWidth="1"/>
    <col min="10757" max="10757" width="10.42578125" customWidth="1"/>
    <col min="10758" max="10758" width="13.28515625" customWidth="1"/>
    <col min="10759" max="10759" width="12.28515625" customWidth="1"/>
    <col min="10760" max="10760" width="17.140625" customWidth="1"/>
    <col min="10761" max="10761" width="13" customWidth="1"/>
    <col min="10762" max="10762" width="1.5703125" customWidth="1"/>
    <col min="10763" max="10763" width="11.7109375" bestFit="1" customWidth="1"/>
    <col min="10764" max="10764" width="1.7109375" customWidth="1"/>
    <col min="11011" max="11011" width="8.85546875" customWidth="1"/>
    <col min="11012" max="11012" width="16.42578125" customWidth="1"/>
    <col min="11013" max="11013" width="10.42578125" customWidth="1"/>
    <col min="11014" max="11014" width="13.28515625" customWidth="1"/>
    <col min="11015" max="11015" width="12.28515625" customWidth="1"/>
    <col min="11016" max="11016" width="17.140625" customWidth="1"/>
    <col min="11017" max="11017" width="13" customWidth="1"/>
    <col min="11018" max="11018" width="1.5703125" customWidth="1"/>
    <col min="11019" max="11019" width="11.7109375" bestFit="1" customWidth="1"/>
    <col min="11020" max="11020" width="1.7109375" customWidth="1"/>
    <col min="11267" max="11267" width="8.85546875" customWidth="1"/>
    <col min="11268" max="11268" width="16.42578125" customWidth="1"/>
    <col min="11269" max="11269" width="10.42578125" customWidth="1"/>
    <col min="11270" max="11270" width="13.28515625" customWidth="1"/>
    <col min="11271" max="11271" width="12.28515625" customWidth="1"/>
    <col min="11272" max="11272" width="17.140625" customWidth="1"/>
    <col min="11273" max="11273" width="13" customWidth="1"/>
    <col min="11274" max="11274" width="1.5703125" customWidth="1"/>
    <col min="11275" max="11275" width="11.7109375" bestFit="1" customWidth="1"/>
    <col min="11276" max="11276" width="1.7109375" customWidth="1"/>
    <col min="11523" max="11523" width="8.85546875" customWidth="1"/>
    <col min="11524" max="11524" width="16.42578125" customWidth="1"/>
    <col min="11525" max="11525" width="10.42578125" customWidth="1"/>
    <col min="11526" max="11526" width="13.28515625" customWidth="1"/>
    <col min="11527" max="11527" width="12.28515625" customWidth="1"/>
    <col min="11528" max="11528" width="17.140625" customWidth="1"/>
    <col min="11529" max="11529" width="13" customWidth="1"/>
    <col min="11530" max="11530" width="1.5703125" customWidth="1"/>
    <col min="11531" max="11531" width="11.7109375" bestFit="1" customWidth="1"/>
    <col min="11532" max="11532" width="1.7109375" customWidth="1"/>
    <col min="11779" max="11779" width="8.85546875" customWidth="1"/>
    <col min="11780" max="11780" width="16.42578125" customWidth="1"/>
    <col min="11781" max="11781" width="10.42578125" customWidth="1"/>
    <col min="11782" max="11782" width="13.28515625" customWidth="1"/>
    <col min="11783" max="11783" width="12.28515625" customWidth="1"/>
    <col min="11784" max="11784" width="17.140625" customWidth="1"/>
    <col min="11785" max="11785" width="13" customWidth="1"/>
    <col min="11786" max="11786" width="1.5703125" customWidth="1"/>
    <col min="11787" max="11787" width="11.7109375" bestFit="1" customWidth="1"/>
    <col min="11788" max="11788" width="1.7109375" customWidth="1"/>
    <col min="12035" max="12035" width="8.85546875" customWidth="1"/>
    <col min="12036" max="12036" width="16.42578125" customWidth="1"/>
    <col min="12037" max="12037" width="10.42578125" customWidth="1"/>
    <col min="12038" max="12038" width="13.28515625" customWidth="1"/>
    <col min="12039" max="12039" width="12.28515625" customWidth="1"/>
    <col min="12040" max="12040" width="17.140625" customWidth="1"/>
    <col min="12041" max="12041" width="13" customWidth="1"/>
    <col min="12042" max="12042" width="1.5703125" customWidth="1"/>
    <col min="12043" max="12043" width="11.7109375" bestFit="1" customWidth="1"/>
    <col min="12044" max="12044" width="1.7109375" customWidth="1"/>
    <col min="12291" max="12291" width="8.85546875" customWidth="1"/>
    <col min="12292" max="12292" width="16.42578125" customWidth="1"/>
    <col min="12293" max="12293" width="10.42578125" customWidth="1"/>
    <col min="12294" max="12294" width="13.28515625" customWidth="1"/>
    <col min="12295" max="12295" width="12.28515625" customWidth="1"/>
    <col min="12296" max="12296" width="17.140625" customWidth="1"/>
    <col min="12297" max="12297" width="13" customWidth="1"/>
    <col min="12298" max="12298" width="1.5703125" customWidth="1"/>
    <col min="12299" max="12299" width="11.7109375" bestFit="1" customWidth="1"/>
    <col min="12300" max="12300" width="1.7109375" customWidth="1"/>
    <col min="12547" max="12547" width="8.85546875" customWidth="1"/>
    <col min="12548" max="12548" width="16.42578125" customWidth="1"/>
    <col min="12549" max="12549" width="10.42578125" customWidth="1"/>
    <col min="12550" max="12550" width="13.28515625" customWidth="1"/>
    <col min="12551" max="12551" width="12.28515625" customWidth="1"/>
    <col min="12552" max="12552" width="17.140625" customWidth="1"/>
    <col min="12553" max="12553" width="13" customWidth="1"/>
    <col min="12554" max="12554" width="1.5703125" customWidth="1"/>
    <col min="12555" max="12555" width="11.7109375" bestFit="1" customWidth="1"/>
    <col min="12556" max="12556" width="1.7109375" customWidth="1"/>
    <col min="12803" max="12803" width="8.85546875" customWidth="1"/>
    <col min="12804" max="12804" width="16.42578125" customWidth="1"/>
    <col min="12805" max="12805" width="10.42578125" customWidth="1"/>
    <col min="12806" max="12806" width="13.28515625" customWidth="1"/>
    <col min="12807" max="12807" width="12.28515625" customWidth="1"/>
    <col min="12808" max="12808" width="17.140625" customWidth="1"/>
    <col min="12809" max="12809" width="13" customWidth="1"/>
    <col min="12810" max="12810" width="1.5703125" customWidth="1"/>
    <col min="12811" max="12811" width="11.7109375" bestFit="1" customWidth="1"/>
    <col min="12812" max="12812" width="1.7109375" customWidth="1"/>
    <col min="13059" max="13059" width="8.85546875" customWidth="1"/>
    <col min="13060" max="13060" width="16.42578125" customWidth="1"/>
    <col min="13061" max="13061" width="10.42578125" customWidth="1"/>
    <col min="13062" max="13062" width="13.28515625" customWidth="1"/>
    <col min="13063" max="13063" width="12.28515625" customWidth="1"/>
    <col min="13064" max="13064" width="17.140625" customWidth="1"/>
    <col min="13065" max="13065" width="13" customWidth="1"/>
    <col min="13066" max="13066" width="1.5703125" customWidth="1"/>
    <col min="13067" max="13067" width="11.7109375" bestFit="1" customWidth="1"/>
    <col min="13068" max="13068" width="1.7109375" customWidth="1"/>
    <col min="13315" max="13315" width="8.85546875" customWidth="1"/>
    <col min="13316" max="13316" width="16.42578125" customWidth="1"/>
    <col min="13317" max="13317" width="10.42578125" customWidth="1"/>
    <col min="13318" max="13318" width="13.28515625" customWidth="1"/>
    <col min="13319" max="13319" width="12.28515625" customWidth="1"/>
    <col min="13320" max="13320" width="17.140625" customWidth="1"/>
    <col min="13321" max="13321" width="13" customWidth="1"/>
    <col min="13322" max="13322" width="1.5703125" customWidth="1"/>
    <col min="13323" max="13323" width="11.7109375" bestFit="1" customWidth="1"/>
    <col min="13324" max="13324" width="1.7109375" customWidth="1"/>
    <col min="13571" max="13571" width="8.85546875" customWidth="1"/>
    <col min="13572" max="13572" width="16.42578125" customWidth="1"/>
    <col min="13573" max="13573" width="10.42578125" customWidth="1"/>
    <col min="13574" max="13574" width="13.28515625" customWidth="1"/>
    <col min="13575" max="13575" width="12.28515625" customWidth="1"/>
    <col min="13576" max="13576" width="17.140625" customWidth="1"/>
    <col min="13577" max="13577" width="13" customWidth="1"/>
    <col min="13578" max="13578" width="1.5703125" customWidth="1"/>
    <col min="13579" max="13579" width="11.7109375" bestFit="1" customWidth="1"/>
    <col min="13580" max="13580" width="1.7109375" customWidth="1"/>
    <col min="13827" max="13827" width="8.85546875" customWidth="1"/>
    <col min="13828" max="13828" width="16.42578125" customWidth="1"/>
    <col min="13829" max="13829" width="10.42578125" customWidth="1"/>
    <col min="13830" max="13830" width="13.28515625" customWidth="1"/>
    <col min="13831" max="13831" width="12.28515625" customWidth="1"/>
    <col min="13832" max="13832" width="17.140625" customWidth="1"/>
    <col min="13833" max="13833" width="13" customWidth="1"/>
    <col min="13834" max="13834" width="1.5703125" customWidth="1"/>
    <col min="13835" max="13835" width="11.7109375" bestFit="1" customWidth="1"/>
    <col min="13836" max="13836" width="1.7109375" customWidth="1"/>
    <col min="14083" max="14083" width="8.85546875" customWidth="1"/>
    <col min="14084" max="14084" width="16.42578125" customWidth="1"/>
    <col min="14085" max="14085" width="10.42578125" customWidth="1"/>
    <col min="14086" max="14086" width="13.28515625" customWidth="1"/>
    <col min="14087" max="14087" width="12.28515625" customWidth="1"/>
    <col min="14088" max="14088" width="17.140625" customWidth="1"/>
    <col min="14089" max="14089" width="13" customWidth="1"/>
    <col min="14090" max="14090" width="1.5703125" customWidth="1"/>
    <col min="14091" max="14091" width="11.7109375" bestFit="1" customWidth="1"/>
    <col min="14092" max="14092" width="1.7109375" customWidth="1"/>
    <col min="14339" max="14339" width="8.85546875" customWidth="1"/>
    <col min="14340" max="14340" width="16.42578125" customWidth="1"/>
    <col min="14341" max="14341" width="10.42578125" customWidth="1"/>
    <col min="14342" max="14342" width="13.28515625" customWidth="1"/>
    <col min="14343" max="14343" width="12.28515625" customWidth="1"/>
    <col min="14344" max="14344" width="17.140625" customWidth="1"/>
    <col min="14345" max="14345" width="13" customWidth="1"/>
    <col min="14346" max="14346" width="1.5703125" customWidth="1"/>
    <col min="14347" max="14347" width="11.7109375" bestFit="1" customWidth="1"/>
    <col min="14348" max="14348" width="1.7109375" customWidth="1"/>
    <col min="14595" max="14595" width="8.85546875" customWidth="1"/>
    <col min="14596" max="14596" width="16.42578125" customWidth="1"/>
    <col min="14597" max="14597" width="10.42578125" customWidth="1"/>
    <col min="14598" max="14598" width="13.28515625" customWidth="1"/>
    <col min="14599" max="14599" width="12.28515625" customWidth="1"/>
    <col min="14600" max="14600" width="17.140625" customWidth="1"/>
    <col min="14601" max="14601" width="13" customWidth="1"/>
    <col min="14602" max="14602" width="1.5703125" customWidth="1"/>
    <col min="14603" max="14603" width="11.7109375" bestFit="1" customWidth="1"/>
    <col min="14604" max="14604" width="1.7109375" customWidth="1"/>
    <col min="14851" max="14851" width="8.85546875" customWidth="1"/>
    <col min="14852" max="14852" width="16.42578125" customWidth="1"/>
    <col min="14853" max="14853" width="10.42578125" customWidth="1"/>
    <col min="14854" max="14854" width="13.28515625" customWidth="1"/>
    <col min="14855" max="14855" width="12.28515625" customWidth="1"/>
    <col min="14856" max="14856" width="17.140625" customWidth="1"/>
    <col min="14857" max="14857" width="13" customWidth="1"/>
    <col min="14858" max="14858" width="1.5703125" customWidth="1"/>
    <col min="14859" max="14859" width="11.7109375" bestFit="1" customWidth="1"/>
    <col min="14860" max="14860" width="1.7109375" customWidth="1"/>
    <col min="15107" max="15107" width="8.85546875" customWidth="1"/>
    <col min="15108" max="15108" width="16.42578125" customWidth="1"/>
    <col min="15109" max="15109" width="10.42578125" customWidth="1"/>
    <col min="15110" max="15110" width="13.28515625" customWidth="1"/>
    <col min="15111" max="15111" width="12.28515625" customWidth="1"/>
    <col min="15112" max="15112" width="17.140625" customWidth="1"/>
    <col min="15113" max="15113" width="13" customWidth="1"/>
    <col min="15114" max="15114" width="1.5703125" customWidth="1"/>
    <col min="15115" max="15115" width="11.7109375" bestFit="1" customWidth="1"/>
    <col min="15116" max="15116" width="1.7109375" customWidth="1"/>
    <col min="15363" max="15363" width="8.85546875" customWidth="1"/>
    <col min="15364" max="15364" width="16.42578125" customWidth="1"/>
    <col min="15365" max="15365" width="10.42578125" customWidth="1"/>
    <col min="15366" max="15366" width="13.28515625" customWidth="1"/>
    <col min="15367" max="15367" width="12.28515625" customWidth="1"/>
    <col min="15368" max="15368" width="17.140625" customWidth="1"/>
    <col min="15369" max="15369" width="13" customWidth="1"/>
    <col min="15370" max="15370" width="1.5703125" customWidth="1"/>
    <col min="15371" max="15371" width="11.7109375" bestFit="1" customWidth="1"/>
    <col min="15372" max="15372" width="1.7109375" customWidth="1"/>
    <col min="15619" max="15619" width="8.85546875" customWidth="1"/>
    <col min="15620" max="15620" width="16.42578125" customWidth="1"/>
    <col min="15621" max="15621" width="10.42578125" customWidth="1"/>
    <col min="15622" max="15622" width="13.28515625" customWidth="1"/>
    <col min="15623" max="15623" width="12.28515625" customWidth="1"/>
    <col min="15624" max="15624" width="17.140625" customWidth="1"/>
    <col min="15625" max="15625" width="13" customWidth="1"/>
    <col min="15626" max="15626" width="1.5703125" customWidth="1"/>
    <col min="15627" max="15627" width="11.7109375" bestFit="1" customWidth="1"/>
    <col min="15628" max="15628" width="1.7109375" customWidth="1"/>
    <col min="15875" max="15875" width="8.85546875" customWidth="1"/>
    <col min="15876" max="15876" width="16.42578125" customWidth="1"/>
    <col min="15877" max="15877" width="10.42578125" customWidth="1"/>
    <col min="15878" max="15878" width="13.28515625" customWidth="1"/>
    <col min="15879" max="15879" width="12.28515625" customWidth="1"/>
    <col min="15880" max="15880" width="17.140625" customWidth="1"/>
    <col min="15881" max="15881" width="13" customWidth="1"/>
    <col min="15882" max="15882" width="1.5703125" customWidth="1"/>
    <col min="15883" max="15883" width="11.7109375" bestFit="1" customWidth="1"/>
    <col min="15884" max="15884" width="1.7109375" customWidth="1"/>
    <col min="16131" max="16131" width="8.85546875" customWidth="1"/>
    <col min="16132" max="16132" width="16.42578125" customWidth="1"/>
    <col min="16133" max="16133" width="10.42578125" customWidth="1"/>
    <col min="16134" max="16134" width="13.28515625" customWidth="1"/>
    <col min="16135" max="16135" width="12.28515625" customWidth="1"/>
    <col min="16136" max="16136" width="17.140625" customWidth="1"/>
    <col min="16137" max="16137" width="13" customWidth="1"/>
    <col min="16138" max="16138" width="1.5703125" customWidth="1"/>
    <col min="16139" max="16139" width="11.7109375" bestFit="1" customWidth="1"/>
    <col min="16140" max="16140" width="1.710937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4" spans="1:13" x14ac:dyDescent="0.25">
      <c r="A4" t="s">
        <v>3</v>
      </c>
    </row>
    <row r="6" spans="1:13" ht="15.75" x14ac:dyDescent="0.25">
      <c r="A6" s="1"/>
      <c r="B6" s="1"/>
      <c r="C6" s="1"/>
      <c r="D6" s="1" t="s">
        <v>4</v>
      </c>
      <c r="E6" s="1"/>
      <c r="F6" s="1"/>
    </row>
    <row r="7" spans="1:13" x14ac:dyDescent="0.25">
      <c r="D7" t="s">
        <v>46</v>
      </c>
    </row>
    <row r="8" spans="1:13" x14ac:dyDescent="0.25">
      <c r="A8" t="s">
        <v>5</v>
      </c>
    </row>
    <row r="9" spans="1:13" x14ac:dyDescent="0.25">
      <c r="D9" s="2">
        <v>45108</v>
      </c>
      <c r="F9" s="2">
        <v>45474</v>
      </c>
      <c r="H9" s="2">
        <v>45839</v>
      </c>
      <c r="I9" s="2"/>
      <c r="J9" s="2"/>
      <c r="L9" s="3"/>
      <c r="M9" s="3"/>
    </row>
    <row r="10" spans="1:13" x14ac:dyDescent="0.25">
      <c r="D10" s="2">
        <v>45473</v>
      </c>
      <c r="F10" s="2">
        <v>45838</v>
      </c>
      <c r="H10" s="2">
        <v>46203</v>
      </c>
      <c r="I10" s="2"/>
      <c r="J10" s="2"/>
      <c r="L10" s="3"/>
      <c r="M10" s="3"/>
    </row>
    <row r="11" spans="1:13" x14ac:dyDescent="0.25">
      <c r="A11" s="4" t="s">
        <v>6</v>
      </c>
    </row>
    <row r="12" spans="1:13" x14ac:dyDescent="0.25">
      <c r="A12" t="s">
        <v>7</v>
      </c>
      <c r="D12" s="5">
        <f>31.9+0.55</f>
        <v>32.449999999999996</v>
      </c>
      <c r="E12" s="5"/>
      <c r="F12" s="5">
        <f>31.9+0.55+0.55</f>
        <v>32.999999999999993</v>
      </c>
      <c r="H12" s="5">
        <v>33.549999999999997</v>
      </c>
      <c r="I12" s="5"/>
      <c r="J12" s="5"/>
      <c r="L12" s="6"/>
      <c r="M12" s="6"/>
    </row>
    <row r="13" spans="1:13" x14ac:dyDescent="0.25">
      <c r="A13" t="s">
        <v>8</v>
      </c>
      <c r="D13" s="5">
        <f>32.45+(D12*0.1)</f>
        <v>35.695</v>
      </c>
      <c r="E13" s="5"/>
      <c r="F13" s="5">
        <f>F12+(F12*0.1)</f>
        <v>36.29999999999999</v>
      </c>
      <c r="H13" s="5">
        <f>H12+(H12*0.1)</f>
        <v>36.904999999999994</v>
      </c>
      <c r="I13" s="5"/>
      <c r="J13" s="5"/>
      <c r="L13" s="6"/>
      <c r="M13" s="6"/>
    </row>
    <row r="14" spans="1:13" x14ac:dyDescent="0.25">
      <c r="A14" t="s">
        <v>9</v>
      </c>
      <c r="D14" s="5">
        <f>D12+1</f>
        <v>33.449999999999996</v>
      </c>
      <c r="E14" s="5"/>
      <c r="F14" s="5">
        <f>F12+1</f>
        <v>33.999999999999993</v>
      </c>
      <c r="H14" s="5">
        <f>H12+1</f>
        <v>34.549999999999997</v>
      </c>
      <c r="I14" s="5"/>
      <c r="J14" s="5"/>
      <c r="L14" s="6"/>
      <c r="M14" s="6"/>
    </row>
    <row r="15" spans="1:13" x14ac:dyDescent="0.25">
      <c r="A15" t="s">
        <v>10</v>
      </c>
      <c r="D15" s="5">
        <f>D12+1</f>
        <v>33.449999999999996</v>
      </c>
      <c r="E15" s="5"/>
      <c r="F15" s="5">
        <f>F12+1</f>
        <v>33.999999999999993</v>
      </c>
      <c r="H15" s="5">
        <f>H12+1</f>
        <v>34.549999999999997</v>
      </c>
      <c r="I15" s="5"/>
      <c r="J15" s="5"/>
      <c r="L15" s="6"/>
      <c r="M15" s="6"/>
    </row>
    <row r="16" spans="1:13" x14ac:dyDescent="0.25">
      <c r="A16" t="s">
        <v>11</v>
      </c>
      <c r="D16" s="5">
        <f>D15+(D15*0.1)</f>
        <v>36.794999999999995</v>
      </c>
      <c r="E16" s="5"/>
      <c r="F16" s="5">
        <f>F15+(F15*0.1)</f>
        <v>37.399999999999991</v>
      </c>
      <c r="H16" s="5">
        <f>H15+(H15*0.1)</f>
        <v>38.004999999999995</v>
      </c>
      <c r="I16" s="5"/>
      <c r="J16" s="5"/>
      <c r="L16" s="6"/>
      <c r="M16" s="6"/>
    </row>
    <row r="17" spans="1:14" x14ac:dyDescent="0.25">
      <c r="A17" t="s">
        <v>12</v>
      </c>
      <c r="D17" s="5">
        <f>D12+(D12*0.1)+1</f>
        <v>36.694999999999993</v>
      </c>
      <c r="E17" s="5"/>
      <c r="F17" s="5">
        <f>F12+(F12*0.1)+1</f>
        <v>37.29999999999999</v>
      </c>
      <c r="H17" s="5">
        <f>H12+(H12*0.1)+1</f>
        <v>37.904999999999994</v>
      </c>
      <c r="I17" s="5"/>
      <c r="J17" s="5"/>
      <c r="L17" s="6"/>
      <c r="M17" s="6"/>
      <c r="N17" s="6"/>
    </row>
    <row r="18" spans="1:14" x14ac:dyDescent="0.25">
      <c r="A18" t="s">
        <v>13</v>
      </c>
      <c r="D18" s="5">
        <f>32.45+1</f>
        <v>33.450000000000003</v>
      </c>
      <c r="E18" s="5"/>
      <c r="F18" s="5">
        <f>F12+1</f>
        <v>33.999999999999993</v>
      </c>
      <c r="H18" s="5">
        <f>H12+1</f>
        <v>34.549999999999997</v>
      </c>
      <c r="I18" s="5"/>
      <c r="J18" s="5"/>
      <c r="L18" s="6"/>
      <c r="M18" s="6"/>
    </row>
    <row r="19" spans="1:14" x14ac:dyDescent="0.25">
      <c r="C19" s="5"/>
      <c r="D19" s="5"/>
      <c r="E19" s="5"/>
      <c r="F19" s="5"/>
      <c r="H19" s="5"/>
      <c r="I19" s="5"/>
      <c r="J19" s="5"/>
      <c r="L19" s="6"/>
      <c r="M19" s="6"/>
      <c r="N19" s="6"/>
    </row>
    <row r="20" spans="1:14" x14ac:dyDescent="0.25">
      <c r="A20" s="4" t="s">
        <v>14</v>
      </c>
      <c r="D20" s="5"/>
      <c r="E20" s="5"/>
      <c r="F20" s="5"/>
      <c r="H20" s="5"/>
      <c r="I20" s="5"/>
      <c r="J20" s="5"/>
      <c r="L20" s="6"/>
      <c r="M20" s="6"/>
    </row>
    <row r="21" spans="1:14" x14ac:dyDescent="0.25">
      <c r="A21" t="s">
        <v>15</v>
      </c>
      <c r="D21" s="5">
        <v>26.92</v>
      </c>
      <c r="E21" s="5"/>
      <c r="F21" s="5">
        <v>26.92</v>
      </c>
      <c r="H21" s="5">
        <v>26.92</v>
      </c>
      <c r="I21" s="5"/>
      <c r="J21" s="5"/>
      <c r="L21" s="6"/>
      <c r="M21" s="6"/>
    </row>
    <row r="22" spans="1:14" x14ac:dyDescent="0.25">
      <c r="A22" t="s">
        <v>16</v>
      </c>
      <c r="D22" s="5">
        <f>6+0.5+0.75</f>
        <v>7.25</v>
      </c>
      <c r="E22" s="5"/>
      <c r="F22" s="5">
        <f>6+0.5+0.75</f>
        <v>7.25</v>
      </c>
      <c r="G22" s="6"/>
      <c r="H22" s="5">
        <f>6+0.5+0.75</f>
        <v>7.25</v>
      </c>
      <c r="I22" s="5"/>
      <c r="J22" s="5"/>
      <c r="K22" s="6"/>
      <c r="L22" s="6"/>
      <c r="M22" s="6"/>
    </row>
    <row r="23" spans="1:14" x14ac:dyDescent="0.25">
      <c r="D23" s="5"/>
      <c r="E23" s="5"/>
      <c r="F23" s="5"/>
      <c r="G23" s="6"/>
      <c r="H23" s="5"/>
      <c r="I23" s="5"/>
      <c r="J23" s="5"/>
      <c r="K23" s="6"/>
      <c r="L23" s="6"/>
      <c r="M23" s="6"/>
    </row>
    <row r="24" spans="1:14" x14ac:dyDescent="0.25">
      <c r="A24" s="7" t="s">
        <v>17</v>
      </c>
      <c r="B24" t="s">
        <v>18</v>
      </c>
      <c r="E24" s="5"/>
      <c r="F24" s="5"/>
      <c r="I24" s="5"/>
      <c r="J24" s="5"/>
      <c r="K24" s="5"/>
    </row>
    <row r="25" spans="1:14" x14ac:dyDescent="0.25">
      <c r="A25" s="7"/>
      <c r="E25" s="5"/>
      <c r="F25" s="5"/>
    </row>
    <row r="26" spans="1:14" x14ac:dyDescent="0.25">
      <c r="A26" s="4" t="s">
        <v>19</v>
      </c>
      <c r="D26" s="25">
        <f>65.07*0.045</f>
        <v>2.9281499999999996</v>
      </c>
      <c r="E26" s="26"/>
      <c r="F26" s="25">
        <f>66.62*0.045</f>
        <v>2.9979</v>
      </c>
      <c r="G26" s="25"/>
      <c r="H26" s="25">
        <f>67.17*0.045</f>
        <v>3.0226500000000001</v>
      </c>
      <c r="K26" s="5">
        <f>H12+H21+H22</f>
        <v>67.72</v>
      </c>
      <c r="L26" s="6"/>
    </row>
    <row r="27" spans="1:14" x14ac:dyDescent="0.25">
      <c r="A27" t="s">
        <v>20</v>
      </c>
      <c r="D27" s="9" t="s">
        <v>21</v>
      </c>
      <c r="E27" s="5"/>
      <c r="F27" s="9" t="s">
        <v>21</v>
      </c>
      <c r="G27" s="10"/>
      <c r="H27" s="9" t="s">
        <v>21</v>
      </c>
      <c r="I27" s="9"/>
      <c r="J27" s="9"/>
      <c r="K27" s="10"/>
      <c r="L27" s="6"/>
      <c r="M27" s="6"/>
    </row>
    <row r="28" spans="1:14" x14ac:dyDescent="0.25">
      <c r="D28" s="11" t="s">
        <v>48</v>
      </c>
      <c r="E28" s="5"/>
      <c r="F28" s="11" t="s">
        <v>57</v>
      </c>
      <c r="G28" s="11"/>
      <c r="H28" s="11" t="s">
        <v>63</v>
      </c>
      <c r="I28" s="11"/>
      <c r="J28" s="11"/>
      <c r="K28" s="11"/>
      <c r="M28" s="5"/>
    </row>
    <row r="29" spans="1:14" x14ac:dyDescent="0.25">
      <c r="D29" s="11"/>
      <c r="E29" s="5"/>
      <c r="F29" s="11"/>
      <c r="G29" s="11"/>
      <c r="H29" s="11"/>
      <c r="I29" s="11"/>
      <c r="J29" s="11"/>
      <c r="K29" s="11"/>
      <c r="M29" s="5"/>
    </row>
    <row r="30" spans="1:14" x14ac:dyDescent="0.25">
      <c r="A30" t="s">
        <v>51</v>
      </c>
      <c r="D30" s="5">
        <f>1.15+0.25+0.15</f>
        <v>1.5499999999999998</v>
      </c>
      <c r="E30" s="5"/>
      <c r="F30" s="5">
        <f>1.15+0.25+0.15+0.15</f>
        <v>1.6999999999999997</v>
      </c>
      <c r="H30" s="5">
        <f>1.15+0.25+0.15+0.15</f>
        <v>1.6999999999999997</v>
      </c>
      <c r="I30" s="5"/>
      <c r="J30" s="5"/>
      <c r="L30" s="6"/>
      <c r="M30" s="6"/>
    </row>
    <row r="31" spans="1:14" x14ac:dyDescent="0.25">
      <c r="A31" s="21" t="s">
        <v>23</v>
      </c>
      <c r="D31" s="5">
        <v>0.05</v>
      </c>
      <c r="E31" s="5"/>
      <c r="F31" s="5">
        <v>0.05</v>
      </c>
      <c r="H31" s="5">
        <v>0.05</v>
      </c>
      <c r="I31" s="21"/>
      <c r="K31" s="5"/>
    </row>
    <row r="32" spans="1:14" x14ac:dyDescent="0.25">
      <c r="A32" s="9" t="s">
        <v>24</v>
      </c>
      <c r="B32" s="12"/>
      <c r="C32" s="12"/>
      <c r="D32" s="12"/>
    </row>
    <row r="33" spans="1:14" x14ac:dyDescent="0.25">
      <c r="A33" s="12" t="s">
        <v>25</v>
      </c>
      <c r="B33" s="12"/>
      <c r="C33" s="12"/>
      <c r="D33" s="12"/>
      <c r="F33" s="12" t="s">
        <v>26</v>
      </c>
    </row>
    <row r="35" spans="1:14" x14ac:dyDescent="0.25">
      <c r="A35" s="13" t="s">
        <v>65</v>
      </c>
      <c r="B35" s="13"/>
      <c r="C35" s="13"/>
      <c r="D35" s="13"/>
    </row>
    <row r="36" spans="1:14" x14ac:dyDescent="0.25">
      <c r="C36" s="14"/>
      <c r="D36" s="14" t="s">
        <v>27</v>
      </c>
      <c r="E36" s="14"/>
      <c r="F36" s="14"/>
      <c r="G36" s="14" t="s">
        <v>28</v>
      </c>
      <c r="H36" s="15"/>
      <c r="I36" s="14"/>
      <c r="J36" s="14"/>
      <c r="K36" s="14"/>
      <c r="M36" s="14"/>
    </row>
    <row r="37" spans="1:14" x14ac:dyDescent="0.25">
      <c r="C37" s="16" t="s">
        <v>29</v>
      </c>
      <c r="D37" s="16" t="s">
        <v>30</v>
      </c>
      <c r="E37" s="16" t="s">
        <v>22</v>
      </c>
      <c r="F37" s="16" t="s">
        <v>16</v>
      </c>
      <c r="G37" s="16" t="s">
        <v>31</v>
      </c>
      <c r="H37" s="16" t="s">
        <v>32</v>
      </c>
      <c r="I37" s="16"/>
      <c r="J37" s="16"/>
      <c r="K37" s="16"/>
      <c r="M37" s="14"/>
    </row>
    <row r="38" spans="1:14" ht="14.25" customHeight="1" x14ac:dyDescent="0.25">
      <c r="C38" s="14"/>
      <c r="D38" s="14"/>
      <c r="E38" s="14"/>
      <c r="F38" s="14"/>
      <c r="G38" s="14"/>
      <c r="H38" s="14"/>
      <c r="I38" s="14"/>
      <c r="J38" s="14"/>
      <c r="K38" s="14"/>
      <c r="M38" s="14"/>
    </row>
    <row r="39" spans="1:14" x14ac:dyDescent="0.25">
      <c r="A39" t="s">
        <v>33</v>
      </c>
      <c r="C39" s="5">
        <f>33.55*0.6</f>
        <v>20.13</v>
      </c>
      <c r="D39" s="5">
        <f>9.01+0.5-1.35+0.45+0.5</f>
        <v>9.11</v>
      </c>
      <c r="E39" s="5">
        <v>0.1</v>
      </c>
      <c r="F39" s="5">
        <v>0</v>
      </c>
      <c r="G39" s="5">
        <v>0</v>
      </c>
      <c r="H39" s="5">
        <f t="shared" ref="H39:H40" si="0">C39+D39+F39+G39</f>
        <v>29.24</v>
      </c>
      <c r="I39" s="18"/>
      <c r="J39" s="5"/>
      <c r="K39" s="5"/>
      <c r="M39" s="18">
        <f t="shared" ref="M39:M44" si="1">H39*1%</f>
        <v>0.29239999999999999</v>
      </c>
      <c r="N39" s="5"/>
    </row>
    <row r="40" spans="1:14" x14ac:dyDescent="0.25">
      <c r="A40" t="s">
        <v>34</v>
      </c>
      <c r="C40" s="5">
        <f>33.55*0.65</f>
        <v>21.807499999999997</v>
      </c>
      <c r="D40" s="5">
        <f>10.86+0.55+0.55</f>
        <v>11.96</v>
      </c>
      <c r="E40" s="5">
        <v>0.1</v>
      </c>
      <c r="F40" s="5">
        <v>0</v>
      </c>
      <c r="G40" s="5">
        <v>0</v>
      </c>
      <c r="H40" s="5">
        <f t="shared" si="0"/>
        <v>33.767499999999998</v>
      </c>
      <c r="I40" s="18"/>
      <c r="J40" s="5"/>
      <c r="K40" s="5"/>
      <c r="M40" s="18">
        <f t="shared" si="1"/>
        <v>0.337675</v>
      </c>
    </row>
    <row r="41" spans="1:14" x14ac:dyDescent="0.25">
      <c r="A41" t="s">
        <v>35</v>
      </c>
      <c r="C41" s="5">
        <f>33.55*0.7</f>
        <v>23.484999999999996</v>
      </c>
      <c r="D41" s="5">
        <f>9.86+0.3</f>
        <v>10.16</v>
      </c>
      <c r="E41" s="5">
        <v>0.1</v>
      </c>
      <c r="F41" s="5">
        <f>1.3+0.3</f>
        <v>1.6</v>
      </c>
      <c r="G41" s="5">
        <f>0.22+(0.22*0.025)</f>
        <v>0.22550000000000001</v>
      </c>
      <c r="H41" s="5">
        <f>C41+D41+F41</f>
        <v>35.244999999999997</v>
      </c>
      <c r="I41" s="18"/>
      <c r="J41" s="5"/>
      <c r="K41" s="5"/>
      <c r="M41" s="18">
        <f t="shared" si="1"/>
        <v>0.35244999999999999</v>
      </c>
    </row>
    <row r="42" spans="1:14" x14ac:dyDescent="0.25">
      <c r="A42" t="s">
        <v>36</v>
      </c>
      <c r="C42" s="5">
        <f>33.55*0.75</f>
        <v>25.162499999999998</v>
      </c>
      <c r="D42" s="5">
        <f>11.61+0.33+0.33</f>
        <v>12.27</v>
      </c>
      <c r="E42" s="5">
        <v>0.1</v>
      </c>
      <c r="F42" s="5">
        <f>2.33+0.33</f>
        <v>2.66</v>
      </c>
      <c r="G42" s="5">
        <f>0.32+(0.32*0.03)</f>
        <v>0.3296</v>
      </c>
      <c r="H42" s="5">
        <f>C42+D42+F42</f>
        <v>40.092500000000001</v>
      </c>
      <c r="I42" s="18"/>
      <c r="J42" s="5"/>
      <c r="K42" s="5"/>
      <c r="M42" s="18">
        <f t="shared" si="1"/>
        <v>0.40092500000000003</v>
      </c>
    </row>
    <row r="43" spans="1:14" x14ac:dyDescent="0.25">
      <c r="A43" t="s">
        <v>37</v>
      </c>
      <c r="C43" s="5">
        <f>33.55*0.8</f>
        <v>26.84</v>
      </c>
      <c r="D43" s="5">
        <f>12.55+0.38+0.38</f>
        <v>13.310000000000002</v>
      </c>
      <c r="E43" s="5">
        <v>0.15</v>
      </c>
      <c r="F43" s="5">
        <f>3.38+0.38</f>
        <v>3.76</v>
      </c>
      <c r="G43" s="5">
        <f>0.37+(0.37*0.035)</f>
        <v>0.38295000000000001</v>
      </c>
      <c r="H43" s="5">
        <f>C43+D43+F43</f>
        <v>43.910000000000004</v>
      </c>
      <c r="I43" s="18"/>
      <c r="J43" s="5"/>
      <c r="K43" s="5"/>
      <c r="M43" s="18">
        <f t="shared" si="1"/>
        <v>0.43910000000000005</v>
      </c>
    </row>
    <row r="44" spans="1:14" x14ac:dyDescent="0.25">
      <c r="A44" t="s">
        <v>38</v>
      </c>
      <c r="C44" s="5">
        <f>33.55*0.85</f>
        <v>28.517499999999998</v>
      </c>
      <c r="D44" s="5">
        <f>14.64+0.43+0.43</f>
        <v>15.5</v>
      </c>
      <c r="E44" s="5">
        <v>0.15</v>
      </c>
      <c r="F44" s="5">
        <f>4.43+0.43</f>
        <v>4.8599999999999994</v>
      </c>
      <c r="G44" s="5">
        <f>0.44+(0.44*0.04)</f>
        <v>0.45760000000000001</v>
      </c>
      <c r="H44" s="5">
        <f>C44+D44+F44</f>
        <v>48.877499999999998</v>
      </c>
      <c r="I44" s="18"/>
      <c r="J44" s="5"/>
      <c r="K44" s="5"/>
      <c r="M44" s="18">
        <f t="shared" si="1"/>
        <v>0.48877500000000002</v>
      </c>
    </row>
    <row r="45" spans="1:14" x14ac:dyDescent="0.25">
      <c r="M45" s="19"/>
    </row>
    <row r="46" spans="1:14" x14ac:dyDescent="0.25">
      <c r="A46" s="13" t="s">
        <v>61</v>
      </c>
      <c r="B46" s="13"/>
      <c r="C46" s="13"/>
      <c r="D46" s="13"/>
    </row>
    <row r="47" spans="1:14" x14ac:dyDescent="0.25">
      <c r="C47" s="14"/>
      <c r="D47" s="14" t="s">
        <v>27</v>
      </c>
      <c r="E47" s="14"/>
      <c r="F47" s="14"/>
      <c r="G47" s="14" t="s">
        <v>28</v>
      </c>
      <c r="H47" s="15"/>
      <c r="I47" s="14"/>
      <c r="J47" s="14"/>
      <c r="K47" s="14"/>
      <c r="M47" s="14"/>
    </row>
    <row r="48" spans="1:14" x14ac:dyDescent="0.25">
      <c r="C48" s="16" t="s">
        <v>29</v>
      </c>
      <c r="D48" s="16" t="s">
        <v>30</v>
      </c>
      <c r="E48" s="16" t="s">
        <v>22</v>
      </c>
      <c r="F48" s="16" t="s">
        <v>16</v>
      </c>
      <c r="G48" s="16" t="s">
        <v>31</v>
      </c>
      <c r="H48" s="16" t="s">
        <v>32</v>
      </c>
      <c r="I48" s="16"/>
      <c r="J48" s="16"/>
      <c r="K48" s="16"/>
      <c r="M48" s="14"/>
    </row>
    <row r="49" spans="1:14" x14ac:dyDescent="0.25">
      <c r="C49" s="14"/>
      <c r="D49" s="14"/>
      <c r="E49" s="14"/>
      <c r="F49" s="14"/>
      <c r="G49" s="14"/>
      <c r="H49" s="14"/>
      <c r="I49" s="14"/>
      <c r="J49" s="14"/>
      <c r="K49" s="14"/>
      <c r="M49" s="14"/>
    </row>
    <row r="50" spans="1:14" x14ac:dyDescent="0.25">
      <c r="A50" t="s">
        <v>33</v>
      </c>
      <c r="C50" s="5">
        <f>33*0.6</f>
        <v>19.8</v>
      </c>
      <c r="D50" s="5">
        <f>9.01+0.5-1.35+0.45+0.5</f>
        <v>9.11</v>
      </c>
      <c r="E50" s="5">
        <v>0.1</v>
      </c>
      <c r="F50" s="5">
        <v>0</v>
      </c>
      <c r="G50" s="5">
        <v>0</v>
      </c>
      <c r="H50" s="5">
        <f t="shared" ref="H50:H51" si="2">C50+D50+F50+G50</f>
        <v>28.91</v>
      </c>
      <c r="I50" s="18"/>
      <c r="J50" s="5"/>
      <c r="K50" s="5"/>
      <c r="M50" s="18">
        <f t="shared" ref="M50:M55" si="3">H50*1%</f>
        <v>0.28910000000000002</v>
      </c>
      <c r="N50" s="5"/>
    </row>
    <row r="51" spans="1:14" x14ac:dyDescent="0.25">
      <c r="A51" t="s">
        <v>34</v>
      </c>
      <c r="C51" s="5">
        <f>33*0.65</f>
        <v>21.45</v>
      </c>
      <c r="D51" s="5">
        <f>10.86+0.55+0.55</f>
        <v>11.96</v>
      </c>
      <c r="E51" s="5">
        <v>0.1</v>
      </c>
      <c r="F51" s="5">
        <v>0</v>
      </c>
      <c r="G51" s="5">
        <v>0</v>
      </c>
      <c r="H51" s="5">
        <f t="shared" si="2"/>
        <v>33.409999999999997</v>
      </c>
      <c r="I51" s="18"/>
      <c r="J51" s="5"/>
      <c r="K51" s="5"/>
      <c r="M51" s="18">
        <f t="shared" si="3"/>
        <v>0.33409999999999995</v>
      </c>
    </row>
    <row r="52" spans="1:14" x14ac:dyDescent="0.25">
      <c r="A52" t="s">
        <v>35</v>
      </c>
      <c r="C52" s="5">
        <f>33*0.7</f>
        <v>23.099999999999998</v>
      </c>
      <c r="D52" s="5">
        <f>9.86+0.3</f>
        <v>10.16</v>
      </c>
      <c r="E52" s="5">
        <v>0.1</v>
      </c>
      <c r="F52" s="5">
        <f>1.3+0.3</f>
        <v>1.6</v>
      </c>
      <c r="G52" s="5">
        <f>0.22+(0.22*0.025)</f>
        <v>0.22550000000000001</v>
      </c>
      <c r="H52" s="5">
        <f>C52+D52+F52</f>
        <v>34.86</v>
      </c>
      <c r="I52" s="18"/>
      <c r="J52" s="5"/>
      <c r="K52" s="5"/>
      <c r="M52" s="18">
        <f t="shared" si="3"/>
        <v>0.34860000000000002</v>
      </c>
    </row>
    <row r="53" spans="1:14" x14ac:dyDescent="0.25">
      <c r="A53" t="s">
        <v>36</v>
      </c>
      <c r="C53" s="5">
        <f>33*0.75</f>
        <v>24.75</v>
      </c>
      <c r="D53" s="5">
        <f>11.61+0.33+0.33</f>
        <v>12.27</v>
      </c>
      <c r="E53" s="5">
        <v>0.1</v>
      </c>
      <c r="F53" s="5">
        <f>2.33+0.33</f>
        <v>2.66</v>
      </c>
      <c r="G53" s="5">
        <f>0.32+(0.32*0.03)</f>
        <v>0.3296</v>
      </c>
      <c r="H53" s="5">
        <f>C53+D53+F53</f>
        <v>39.679999999999993</v>
      </c>
      <c r="I53" s="18"/>
      <c r="J53" s="5"/>
      <c r="K53" s="5"/>
      <c r="M53" s="18">
        <f t="shared" si="3"/>
        <v>0.39679999999999993</v>
      </c>
    </row>
    <row r="54" spans="1:14" x14ac:dyDescent="0.25">
      <c r="A54" t="s">
        <v>37</v>
      </c>
      <c r="C54" s="5">
        <f>33*0.8</f>
        <v>26.400000000000002</v>
      </c>
      <c r="D54" s="5">
        <f>12.55+0.38+0.38</f>
        <v>13.310000000000002</v>
      </c>
      <c r="E54" s="5">
        <v>0.15</v>
      </c>
      <c r="F54" s="5">
        <f>3.38+0.38</f>
        <v>3.76</v>
      </c>
      <c r="G54" s="5">
        <f>0.37+(0.37*0.035)</f>
        <v>0.38295000000000001</v>
      </c>
      <c r="H54" s="5">
        <f>C54+D54+F54</f>
        <v>43.470000000000006</v>
      </c>
      <c r="I54" s="18"/>
      <c r="J54" s="5"/>
      <c r="K54" s="5"/>
      <c r="M54" s="18">
        <f t="shared" si="3"/>
        <v>0.43470000000000009</v>
      </c>
    </row>
    <row r="55" spans="1:14" x14ac:dyDescent="0.25">
      <c r="A55" t="s">
        <v>38</v>
      </c>
      <c r="C55" s="5">
        <f>33*0.85</f>
        <v>28.05</v>
      </c>
      <c r="D55" s="5">
        <f>14.64+0.43+0.43</f>
        <v>15.5</v>
      </c>
      <c r="E55" s="5">
        <v>0.15</v>
      </c>
      <c r="F55" s="5">
        <f>4.43+0.43</f>
        <v>4.8599999999999994</v>
      </c>
      <c r="G55" s="5">
        <f>0.44+(0.44*0.04)</f>
        <v>0.45760000000000001</v>
      </c>
      <c r="H55" s="5">
        <f>C55+D55+F55</f>
        <v>48.41</v>
      </c>
      <c r="I55" s="18"/>
      <c r="J55" s="5"/>
      <c r="K55" s="5"/>
      <c r="M55" s="18">
        <f t="shared" si="3"/>
        <v>0.48409999999999997</v>
      </c>
    </row>
  </sheetData>
  <sheetProtection algorithmName="SHA-512" hashValue="HJs5QTCU3/09yUNpn79jtncr3B9/I59sknT4v70OLcf8a97mq+iyZsbt3NSQ8PJE8Gg4JM+9le/tiVDB9dy0QQ==" saltValue="7PGcMV6Wub+B4rEgf0mDWg==" spinCount="100000" sheet="1" objects="1" scenarios="1"/>
  <pageMargins left="0.7" right="0.7" top="0.75" bottom="0.75" header="0.3" footer="0.3"/>
  <pageSetup scale="67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3F22-0909-4CE4-8BCD-17A703ABF7ED}">
  <sheetPr codeName="Sheet4">
    <pageSetUpPr fitToPage="1"/>
  </sheetPr>
  <dimension ref="A1:M63"/>
  <sheetViews>
    <sheetView topLeftCell="A25" workbookViewId="0">
      <selection activeCell="C45" sqref="C45"/>
    </sheetView>
  </sheetViews>
  <sheetFormatPr defaultRowHeight="15" x14ac:dyDescent="0.25"/>
  <cols>
    <col min="3" max="4" width="11.140625" customWidth="1"/>
    <col min="5" max="5" width="10.42578125" hidden="1" customWidth="1"/>
    <col min="6" max="6" width="12" bestFit="1" customWidth="1"/>
    <col min="7" max="7" width="11.7109375" customWidth="1"/>
    <col min="8" max="8" width="12.7109375" bestFit="1" customWidth="1"/>
    <col min="9" max="9" width="8.7109375" bestFit="1" customWidth="1"/>
    <col min="10" max="10" width="11.7109375" bestFit="1" customWidth="1"/>
    <col min="11" max="11" width="2.42578125" customWidth="1"/>
    <col min="12" max="12" width="12.5703125" bestFit="1" customWidth="1"/>
    <col min="259" max="260" width="11.140625" customWidth="1"/>
    <col min="261" max="261" width="0" hidden="1" customWidth="1"/>
    <col min="262" max="262" width="12" bestFit="1" customWidth="1"/>
    <col min="263" max="263" width="11.7109375" customWidth="1"/>
    <col min="264" max="264" width="12.7109375" bestFit="1" customWidth="1"/>
    <col min="265" max="265" width="8.7109375" bestFit="1" customWidth="1"/>
    <col min="266" max="266" width="11.7109375" bestFit="1" customWidth="1"/>
    <col min="267" max="267" width="2.42578125" customWidth="1"/>
    <col min="268" max="268" width="12.5703125" bestFit="1" customWidth="1"/>
    <col min="515" max="516" width="11.140625" customWidth="1"/>
    <col min="517" max="517" width="0" hidden="1" customWidth="1"/>
    <col min="518" max="518" width="12" bestFit="1" customWidth="1"/>
    <col min="519" max="519" width="11.7109375" customWidth="1"/>
    <col min="520" max="520" width="12.7109375" bestFit="1" customWidth="1"/>
    <col min="521" max="521" width="8.7109375" bestFit="1" customWidth="1"/>
    <col min="522" max="522" width="11.7109375" bestFit="1" customWidth="1"/>
    <col min="523" max="523" width="2.42578125" customWidth="1"/>
    <col min="524" max="524" width="12.5703125" bestFit="1" customWidth="1"/>
    <col min="771" max="772" width="11.140625" customWidth="1"/>
    <col min="773" max="773" width="0" hidden="1" customWidth="1"/>
    <col min="774" max="774" width="12" bestFit="1" customWidth="1"/>
    <col min="775" max="775" width="11.7109375" customWidth="1"/>
    <col min="776" max="776" width="12.7109375" bestFit="1" customWidth="1"/>
    <col min="777" max="777" width="8.7109375" bestFit="1" customWidth="1"/>
    <col min="778" max="778" width="11.7109375" bestFit="1" customWidth="1"/>
    <col min="779" max="779" width="2.42578125" customWidth="1"/>
    <col min="780" max="780" width="12.5703125" bestFit="1" customWidth="1"/>
    <col min="1027" max="1028" width="11.140625" customWidth="1"/>
    <col min="1029" max="1029" width="0" hidden="1" customWidth="1"/>
    <col min="1030" max="1030" width="12" bestFit="1" customWidth="1"/>
    <col min="1031" max="1031" width="11.7109375" customWidth="1"/>
    <col min="1032" max="1032" width="12.7109375" bestFit="1" customWidth="1"/>
    <col min="1033" max="1033" width="8.7109375" bestFit="1" customWidth="1"/>
    <col min="1034" max="1034" width="11.7109375" bestFit="1" customWidth="1"/>
    <col min="1035" max="1035" width="2.42578125" customWidth="1"/>
    <col min="1036" max="1036" width="12.5703125" bestFit="1" customWidth="1"/>
    <col min="1283" max="1284" width="11.140625" customWidth="1"/>
    <col min="1285" max="1285" width="0" hidden="1" customWidth="1"/>
    <col min="1286" max="1286" width="12" bestFit="1" customWidth="1"/>
    <col min="1287" max="1287" width="11.7109375" customWidth="1"/>
    <col min="1288" max="1288" width="12.7109375" bestFit="1" customWidth="1"/>
    <col min="1289" max="1289" width="8.7109375" bestFit="1" customWidth="1"/>
    <col min="1290" max="1290" width="11.7109375" bestFit="1" customWidth="1"/>
    <col min="1291" max="1291" width="2.42578125" customWidth="1"/>
    <col min="1292" max="1292" width="12.5703125" bestFit="1" customWidth="1"/>
    <col min="1539" max="1540" width="11.140625" customWidth="1"/>
    <col min="1541" max="1541" width="0" hidden="1" customWidth="1"/>
    <col min="1542" max="1542" width="12" bestFit="1" customWidth="1"/>
    <col min="1543" max="1543" width="11.7109375" customWidth="1"/>
    <col min="1544" max="1544" width="12.7109375" bestFit="1" customWidth="1"/>
    <col min="1545" max="1545" width="8.7109375" bestFit="1" customWidth="1"/>
    <col min="1546" max="1546" width="11.7109375" bestFit="1" customWidth="1"/>
    <col min="1547" max="1547" width="2.42578125" customWidth="1"/>
    <col min="1548" max="1548" width="12.5703125" bestFit="1" customWidth="1"/>
    <col min="1795" max="1796" width="11.140625" customWidth="1"/>
    <col min="1797" max="1797" width="0" hidden="1" customWidth="1"/>
    <col min="1798" max="1798" width="12" bestFit="1" customWidth="1"/>
    <col min="1799" max="1799" width="11.7109375" customWidth="1"/>
    <col min="1800" max="1800" width="12.7109375" bestFit="1" customWidth="1"/>
    <col min="1801" max="1801" width="8.7109375" bestFit="1" customWidth="1"/>
    <col min="1802" max="1802" width="11.7109375" bestFit="1" customWidth="1"/>
    <col min="1803" max="1803" width="2.42578125" customWidth="1"/>
    <col min="1804" max="1804" width="12.5703125" bestFit="1" customWidth="1"/>
    <col min="2051" max="2052" width="11.140625" customWidth="1"/>
    <col min="2053" max="2053" width="0" hidden="1" customWidth="1"/>
    <col min="2054" max="2054" width="12" bestFit="1" customWidth="1"/>
    <col min="2055" max="2055" width="11.7109375" customWidth="1"/>
    <col min="2056" max="2056" width="12.7109375" bestFit="1" customWidth="1"/>
    <col min="2057" max="2057" width="8.7109375" bestFit="1" customWidth="1"/>
    <col min="2058" max="2058" width="11.7109375" bestFit="1" customWidth="1"/>
    <col min="2059" max="2059" width="2.42578125" customWidth="1"/>
    <col min="2060" max="2060" width="12.5703125" bestFit="1" customWidth="1"/>
    <col min="2307" max="2308" width="11.140625" customWidth="1"/>
    <col min="2309" max="2309" width="0" hidden="1" customWidth="1"/>
    <col min="2310" max="2310" width="12" bestFit="1" customWidth="1"/>
    <col min="2311" max="2311" width="11.7109375" customWidth="1"/>
    <col min="2312" max="2312" width="12.7109375" bestFit="1" customWidth="1"/>
    <col min="2313" max="2313" width="8.7109375" bestFit="1" customWidth="1"/>
    <col min="2314" max="2314" width="11.7109375" bestFit="1" customWidth="1"/>
    <col min="2315" max="2315" width="2.42578125" customWidth="1"/>
    <col min="2316" max="2316" width="12.5703125" bestFit="1" customWidth="1"/>
    <col min="2563" max="2564" width="11.140625" customWidth="1"/>
    <col min="2565" max="2565" width="0" hidden="1" customWidth="1"/>
    <col min="2566" max="2566" width="12" bestFit="1" customWidth="1"/>
    <col min="2567" max="2567" width="11.7109375" customWidth="1"/>
    <col min="2568" max="2568" width="12.7109375" bestFit="1" customWidth="1"/>
    <col min="2569" max="2569" width="8.7109375" bestFit="1" customWidth="1"/>
    <col min="2570" max="2570" width="11.7109375" bestFit="1" customWidth="1"/>
    <col min="2571" max="2571" width="2.42578125" customWidth="1"/>
    <col min="2572" max="2572" width="12.5703125" bestFit="1" customWidth="1"/>
    <col min="2819" max="2820" width="11.140625" customWidth="1"/>
    <col min="2821" max="2821" width="0" hidden="1" customWidth="1"/>
    <col min="2822" max="2822" width="12" bestFit="1" customWidth="1"/>
    <col min="2823" max="2823" width="11.7109375" customWidth="1"/>
    <col min="2824" max="2824" width="12.7109375" bestFit="1" customWidth="1"/>
    <col min="2825" max="2825" width="8.7109375" bestFit="1" customWidth="1"/>
    <col min="2826" max="2826" width="11.7109375" bestFit="1" customWidth="1"/>
    <col min="2827" max="2827" width="2.42578125" customWidth="1"/>
    <col min="2828" max="2828" width="12.5703125" bestFit="1" customWidth="1"/>
    <col min="3075" max="3076" width="11.140625" customWidth="1"/>
    <col min="3077" max="3077" width="0" hidden="1" customWidth="1"/>
    <col min="3078" max="3078" width="12" bestFit="1" customWidth="1"/>
    <col min="3079" max="3079" width="11.7109375" customWidth="1"/>
    <col min="3080" max="3080" width="12.7109375" bestFit="1" customWidth="1"/>
    <col min="3081" max="3081" width="8.7109375" bestFit="1" customWidth="1"/>
    <col min="3082" max="3082" width="11.7109375" bestFit="1" customWidth="1"/>
    <col min="3083" max="3083" width="2.42578125" customWidth="1"/>
    <col min="3084" max="3084" width="12.5703125" bestFit="1" customWidth="1"/>
    <col min="3331" max="3332" width="11.140625" customWidth="1"/>
    <col min="3333" max="3333" width="0" hidden="1" customWidth="1"/>
    <col min="3334" max="3334" width="12" bestFit="1" customWidth="1"/>
    <col min="3335" max="3335" width="11.7109375" customWidth="1"/>
    <col min="3336" max="3336" width="12.7109375" bestFit="1" customWidth="1"/>
    <col min="3337" max="3337" width="8.7109375" bestFit="1" customWidth="1"/>
    <col min="3338" max="3338" width="11.7109375" bestFit="1" customWidth="1"/>
    <col min="3339" max="3339" width="2.42578125" customWidth="1"/>
    <col min="3340" max="3340" width="12.5703125" bestFit="1" customWidth="1"/>
    <col min="3587" max="3588" width="11.140625" customWidth="1"/>
    <col min="3589" max="3589" width="0" hidden="1" customWidth="1"/>
    <col min="3590" max="3590" width="12" bestFit="1" customWidth="1"/>
    <col min="3591" max="3591" width="11.7109375" customWidth="1"/>
    <col min="3592" max="3592" width="12.7109375" bestFit="1" customWidth="1"/>
    <col min="3593" max="3593" width="8.7109375" bestFit="1" customWidth="1"/>
    <col min="3594" max="3594" width="11.7109375" bestFit="1" customWidth="1"/>
    <col min="3595" max="3595" width="2.42578125" customWidth="1"/>
    <col min="3596" max="3596" width="12.5703125" bestFit="1" customWidth="1"/>
    <col min="3843" max="3844" width="11.140625" customWidth="1"/>
    <col min="3845" max="3845" width="0" hidden="1" customWidth="1"/>
    <col min="3846" max="3846" width="12" bestFit="1" customWidth="1"/>
    <col min="3847" max="3847" width="11.7109375" customWidth="1"/>
    <col min="3848" max="3848" width="12.7109375" bestFit="1" customWidth="1"/>
    <col min="3849" max="3849" width="8.7109375" bestFit="1" customWidth="1"/>
    <col min="3850" max="3850" width="11.7109375" bestFit="1" customWidth="1"/>
    <col min="3851" max="3851" width="2.42578125" customWidth="1"/>
    <col min="3852" max="3852" width="12.5703125" bestFit="1" customWidth="1"/>
    <col min="4099" max="4100" width="11.140625" customWidth="1"/>
    <col min="4101" max="4101" width="0" hidden="1" customWidth="1"/>
    <col min="4102" max="4102" width="12" bestFit="1" customWidth="1"/>
    <col min="4103" max="4103" width="11.7109375" customWidth="1"/>
    <col min="4104" max="4104" width="12.7109375" bestFit="1" customWidth="1"/>
    <col min="4105" max="4105" width="8.7109375" bestFit="1" customWidth="1"/>
    <col min="4106" max="4106" width="11.7109375" bestFit="1" customWidth="1"/>
    <col min="4107" max="4107" width="2.42578125" customWidth="1"/>
    <col min="4108" max="4108" width="12.5703125" bestFit="1" customWidth="1"/>
    <col min="4355" max="4356" width="11.140625" customWidth="1"/>
    <col min="4357" max="4357" width="0" hidden="1" customWidth="1"/>
    <col min="4358" max="4358" width="12" bestFit="1" customWidth="1"/>
    <col min="4359" max="4359" width="11.7109375" customWidth="1"/>
    <col min="4360" max="4360" width="12.7109375" bestFit="1" customWidth="1"/>
    <col min="4361" max="4361" width="8.7109375" bestFit="1" customWidth="1"/>
    <col min="4362" max="4362" width="11.7109375" bestFit="1" customWidth="1"/>
    <col min="4363" max="4363" width="2.42578125" customWidth="1"/>
    <col min="4364" max="4364" width="12.5703125" bestFit="1" customWidth="1"/>
    <col min="4611" max="4612" width="11.140625" customWidth="1"/>
    <col min="4613" max="4613" width="0" hidden="1" customWidth="1"/>
    <col min="4614" max="4614" width="12" bestFit="1" customWidth="1"/>
    <col min="4615" max="4615" width="11.7109375" customWidth="1"/>
    <col min="4616" max="4616" width="12.7109375" bestFit="1" customWidth="1"/>
    <col min="4617" max="4617" width="8.7109375" bestFit="1" customWidth="1"/>
    <col min="4618" max="4618" width="11.7109375" bestFit="1" customWidth="1"/>
    <col min="4619" max="4619" width="2.42578125" customWidth="1"/>
    <col min="4620" max="4620" width="12.5703125" bestFit="1" customWidth="1"/>
    <col min="4867" max="4868" width="11.140625" customWidth="1"/>
    <col min="4869" max="4869" width="0" hidden="1" customWidth="1"/>
    <col min="4870" max="4870" width="12" bestFit="1" customWidth="1"/>
    <col min="4871" max="4871" width="11.7109375" customWidth="1"/>
    <col min="4872" max="4872" width="12.7109375" bestFit="1" customWidth="1"/>
    <col min="4873" max="4873" width="8.7109375" bestFit="1" customWidth="1"/>
    <col min="4874" max="4874" width="11.7109375" bestFit="1" customWidth="1"/>
    <col min="4875" max="4875" width="2.42578125" customWidth="1"/>
    <col min="4876" max="4876" width="12.5703125" bestFit="1" customWidth="1"/>
    <col min="5123" max="5124" width="11.140625" customWidth="1"/>
    <col min="5125" max="5125" width="0" hidden="1" customWidth="1"/>
    <col min="5126" max="5126" width="12" bestFit="1" customWidth="1"/>
    <col min="5127" max="5127" width="11.7109375" customWidth="1"/>
    <col min="5128" max="5128" width="12.7109375" bestFit="1" customWidth="1"/>
    <col min="5129" max="5129" width="8.7109375" bestFit="1" customWidth="1"/>
    <col min="5130" max="5130" width="11.7109375" bestFit="1" customWidth="1"/>
    <col min="5131" max="5131" width="2.42578125" customWidth="1"/>
    <col min="5132" max="5132" width="12.5703125" bestFit="1" customWidth="1"/>
    <col min="5379" max="5380" width="11.140625" customWidth="1"/>
    <col min="5381" max="5381" width="0" hidden="1" customWidth="1"/>
    <col min="5382" max="5382" width="12" bestFit="1" customWidth="1"/>
    <col min="5383" max="5383" width="11.7109375" customWidth="1"/>
    <col min="5384" max="5384" width="12.7109375" bestFit="1" customWidth="1"/>
    <col min="5385" max="5385" width="8.7109375" bestFit="1" customWidth="1"/>
    <col min="5386" max="5386" width="11.7109375" bestFit="1" customWidth="1"/>
    <col min="5387" max="5387" width="2.42578125" customWidth="1"/>
    <col min="5388" max="5388" width="12.5703125" bestFit="1" customWidth="1"/>
    <col min="5635" max="5636" width="11.140625" customWidth="1"/>
    <col min="5637" max="5637" width="0" hidden="1" customWidth="1"/>
    <col min="5638" max="5638" width="12" bestFit="1" customWidth="1"/>
    <col min="5639" max="5639" width="11.7109375" customWidth="1"/>
    <col min="5640" max="5640" width="12.7109375" bestFit="1" customWidth="1"/>
    <col min="5641" max="5641" width="8.7109375" bestFit="1" customWidth="1"/>
    <col min="5642" max="5642" width="11.7109375" bestFit="1" customWidth="1"/>
    <col min="5643" max="5643" width="2.42578125" customWidth="1"/>
    <col min="5644" max="5644" width="12.5703125" bestFit="1" customWidth="1"/>
    <col min="5891" max="5892" width="11.140625" customWidth="1"/>
    <col min="5893" max="5893" width="0" hidden="1" customWidth="1"/>
    <col min="5894" max="5894" width="12" bestFit="1" customWidth="1"/>
    <col min="5895" max="5895" width="11.7109375" customWidth="1"/>
    <col min="5896" max="5896" width="12.7109375" bestFit="1" customWidth="1"/>
    <col min="5897" max="5897" width="8.7109375" bestFit="1" customWidth="1"/>
    <col min="5898" max="5898" width="11.7109375" bestFit="1" customWidth="1"/>
    <col min="5899" max="5899" width="2.42578125" customWidth="1"/>
    <col min="5900" max="5900" width="12.5703125" bestFit="1" customWidth="1"/>
    <col min="6147" max="6148" width="11.140625" customWidth="1"/>
    <col min="6149" max="6149" width="0" hidden="1" customWidth="1"/>
    <col min="6150" max="6150" width="12" bestFit="1" customWidth="1"/>
    <col min="6151" max="6151" width="11.7109375" customWidth="1"/>
    <col min="6152" max="6152" width="12.7109375" bestFit="1" customWidth="1"/>
    <col min="6153" max="6153" width="8.7109375" bestFit="1" customWidth="1"/>
    <col min="6154" max="6154" width="11.7109375" bestFit="1" customWidth="1"/>
    <col min="6155" max="6155" width="2.42578125" customWidth="1"/>
    <col min="6156" max="6156" width="12.5703125" bestFit="1" customWidth="1"/>
    <col min="6403" max="6404" width="11.140625" customWidth="1"/>
    <col min="6405" max="6405" width="0" hidden="1" customWidth="1"/>
    <col min="6406" max="6406" width="12" bestFit="1" customWidth="1"/>
    <col min="6407" max="6407" width="11.7109375" customWidth="1"/>
    <col min="6408" max="6408" width="12.7109375" bestFit="1" customWidth="1"/>
    <col min="6409" max="6409" width="8.7109375" bestFit="1" customWidth="1"/>
    <col min="6410" max="6410" width="11.7109375" bestFit="1" customWidth="1"/>
    <col min="6411" max="6411" width="2.42578125" customWidth="1"/>
    <col min="6412" max="6412" width="12.5703125" bestFit="1" customWidth="1"/>
    <col min="6659" max="6660" width="11.140625" customWidth="1"/>
    <col min="6661" max="6661" width="0" hidden="1" customWidth="1"/>
    <col min="6662" max="6662" width="12" bestFit="1" customWidth="1"/>
    <col min="6663" max="6663" width="11.7109375" customWidth="1"/>
    <col min="6664" max="6664" width="12.7109375" bestFit="1" customWidth="1"/>
    <col min="6665" max="6665" width="8.7109375" bestFit="1" customWidth="1"/>
    <col min="6666" max="6666" width="11.7109375" bestFit="1" customWidth="1"/>
    <col min="6667" max="6667" width="2.42578125" customWidth="1"/>
    <col min="6668" max="6668" width="12.5703125" bestFit="1" customWidth="1"/>
    <col min="6915" max="6916" width="11.140625" customWidth="1"/>
    <col min="6917" max="6917" width="0" hidden="1" customWidth="1"/>
    <col min="6918" max="6918" width="12" bestFit="1" customWidth="1"/>
    <col min="6919" max="6919" width="11.7109375" customWidth="1"/>
    <col min="6920" max="6920" width="12.7109375" bestFit="1" customWidth="1"/>
    <col min="6921" max="6921" width="8.7109375" bestFit="1" customWidth="1"/>
    <col min="6922" max="6922" width="11.7109375" bestFit="1" customWidth="1"/>
    <col min="6923" max="6923" width="2.42578125" customWidth="1"/>
    <col min="6924" max="6924" width="12.5703125" bestFit="1" customWidth="1"/>
    <col min="7171" max="7172" width="11.140625" customWidth="1"/>
    <col min="7173" max="7173" width="0" hidden="1" customWidth="1"/>
    <col min="7174" max="7174" width="12" bestFit="1" customWidth="1"/>
    <col min="7175" max="7175" width="11.7109375" customWidth="1"/>
    <col min="7176" max="7176" width="12.7109375" bestFit="1" customWidth="1"/>
    <col min="7177" max="7177" width="8.7109375" bestFit="1" customWidth="1"/>
    <col min="7178" max="7178" width="11.7109375" bestFit="1" customWidth="1"/>
    <col min="7179" max="7179" width="2.42578125" customWidth="1"/>
    <col min="7180" max="7180" width="12.5703125" bestFit="1" customWidth="1"/>
    <col min="7427" max="7428" width="11.140625" customWidth="1"/>
    <col min="7429" max="7429" width="0" hidden="1" customWidth="1"/>
    <col min="7430" max="7430" width="12" bestFit="1" customWidth="1"/>
    <col min="7431" max="7431" width="11.7109375" customWidth="1"/>
    <col min="7432" max="7432" width="12.7109375" bestFit="1" customWidth="1"/>
    <col min="7433" max="7433" width="8.7109375" bestFit="1" customWidth="1"/>
    <col min="7434" max="7434" width="11.7109375" bestFit="1" customWidth="1"/>
    <col min="7435" max="7435" width="2.42578125" customWidth="1"/>
    <col min="7436" max="7436" width="12.5703125" bestFit="1" customWidth="1"/>
    <col min="7683" max="7684" width="11.140625" customWidth="1"/>
    <col min="7685" max="7685" width="0" hidden="1" customWidth="1"/>
    <col min="7686" max="7686" width="12" bestFit="1" customWidth="1"/>
    <col min="7687" max="7687" width="11.7109375" customWidth="1"/>
    <col min="7688" max="7688" width="12.7109375" bestFit="1" customWidth="1"/>
    <col min="7689" max="7689" width="8.7109375" bestFit="1" customWidth="1"/>
    <col min="7690" max="7690" width="11.7109375" bestFit="1" customWidth="1"/>
    <col min="7691" max="7691" width="2.42578125" customWidth="1"/>
    <col min="7692" max="7692" width="12.5703125" bestFit="1" customWidth="1"/>
    <col min="7939" max="7940" width="11.140625" customWidth="1"/>
    <col min="7941" max="7941" width="0" hidden="1" customWidth="1"/>
    <col min="7942" max="7942" width="12" bestFit="1" customWidth="1"/>
    <col min="7943" max="7943" width="11.7109375" customWidth="1"/>
    <col min="7944" max="7944" width="12.7109375" bestFit="1" customWidth="1"/>
    <col min="7945" max="7945" width="8.7109375" bestFit="1" customWidth="1"/>
    <col min="7946" max="7946" width="11.7109375" bestFit="1" customWidth="1"/>
    <col min="7947" max="7947" width="2.42578125" customWidth="1"/>
    <col min="7948" max="7948" width="12.5703125" bestFit="1" customWidth="1"/>
    <col min="8195" max="8196" width="11.140625" customWidth="1"/>
    <col min="8197" max="8197" width="0" hidden="1" customWidth="1"/>
    <col min="8198" max="8198" width="12" bestFit="1" customWidth="1"/>
    <col min="8199" max="8199" width="11.7109375" customWidth="1"/>
    <col min="8200" max="8200" width="12.7109375" bestFit="1" customWidth="1"/>
    <col min="8201" max="8201" width="8.7109375" bestFit="1" customWidth="1"/>
    <col min="8202" max="8202" width="11.7109375" bestFit="1" customWidth="1"/>
    <col min="8203" max="8203" width="2.42578125" customWidth="1"/>
    <col min="8204" max="8204" width="12.5703125" bestFit="1" customWidth="1"/>
    <col min="8451" max="8452" width="11.140625" customWidth="1"/>
    <col min="8453" max="8453" width="0" hidden="1" customWidth="1"/>
    <col min="8454" max="8454" width="12" bestFit="1" customWidth="1"/>
    <col min="8455" max="8455" width="11.7109375" customWidth="1"/>
    <col min="8456" max="8456" width="12.7109375" bestFit="1" customWidth="1"/>
    <col min="8457" max="8457" width="8.7109375" bestFit="1" customWidth="1"/>
    <col min="8458" max="8458" width="11.7109375" bestFit="1" customWidth="1"/>
    <col min="8459" max="8459" width="2.42578125" customWidth="1"/>
    <col min="8460" max="8460" width="12.5703125" bestFit="1" customWidth="1"/>
    <col min="8707" max="8708" width="11.140625" customWidth="1"/>
    <col min="8709" max="8709" width="0" hidden="1" customWidth="1"/>
    <col min="8710" max="8710" width="12" bestFit="1" customWidth="1"/>
    <col min="8711" max="8711" width="11.7109375" customWidth="1"/>
    <col min="8712" max="8712" width="12.7109375" bestFit="1" customWidth="1"/>
    <col min="8713" max="8713" width="8.7109375" bestFit="1" customWidth="1"/>
    <col min="8714" max="8714" width="11.7109375" bestFit="1" customWidth="1"/>
    <col min="8715" max="8715" width="2.42578125" customWidth="1"/>
    <col min="8716" max="8716" width="12.5703125" bestFit="1" customWidth="1"/>
    <col min="8963" max="8964" width="11.140625" customWidth="1"/>
    <col min="8965" max="8965" width="0" hidden="1" customWidth="1"/>
    <col min="8966" max="8966" width="12" bestFit="1" customWidth="1"/>
    <col min="8967" max="8967" width="11.7109375" customWidth="1"/>
    <col min="8968" max="8968" width="12.7109375" bestFit="1" customWidth="1"/>
    <col min="8969" max="8969" width="8.7109375" bestFit="1" customWidth="1"/>
    <col min="8970" max="8970" width="11.7109375" bestFit="1" customWidth="1"/>
    <col min="8971" max="8971" width="2.42578125" customWidth="1"/>
    <col min="8972" max="8972" width="12.5703125" bestFit="1" customWidth="1"/>
    <col min="9219" max="9220" width="11.140625" customWidth="1"/>
    <col min="9221" max="9221" width="0" hidden="1" customWidth="1"/>
    <col min="9222" max="9222" width="12" bestFit="1" customWidth="1"/>
    <col min="9223" max="9223" width="11.7109375" customWidth="1"/>
    <col min="9224" max="9224" width="12.7109375" bestFit="1" customWidth="1"/>
    <col min="9225" max="9225" width="8.7109375" bestFit="1" customWidth="1"/>
    <col min="9226" max="9226" width="11.7109375" bestFit="1" customWidth="1"/>
    <col min="9227" max="9227" width="2.42578125" customWidth="1"/>
    <col min="9228" max="9228" width="12.5703125" bestFit="1" customWidth="1"/>
    <col min="9475" max="9476" width="11.140625" customWidth="1"/>
    <col min="9477" max="9477" width="0" hidden="1" customWidth="1"/>
    <col min="9478" max="9478" width="12" bestFit="1" customWidth="1"/>
    <col min="9479" max="9479" width="11.7109375" customWidth="1"/>
    <col min="9480" max="9480" width="12.7109375" bestFit="1" customWidth="1"/>
    <col min="9481" max="9481" width="8.7109375" bestFit="1" customWidth="1"/>
    <col min="9482" max="9482" width="11.7109375" bestFit="1" customWidth="1"/>
    <col min="9483" max="9483" width="2.42578125" customWidth="1"/>
    <col min="9484" max="9484" width="12.5703125" bestFit="1" customWidth="1"/>
    <col min="9731" max="9732" width="11.140625" customWidth="1"/>
    <col min="9733" max="9733" width="0" hidden="1" customWidth="1"/>
    <col min="9734" max="9734" width="12" bestFit="1" customWidth="1"/>
    <col min="9735" max="9735" width="11.7109375" customWidth="1"/>
    <col min="9736" max="9736" width="12.7109375" bestFit="1" customWidth="1"/>
    <col min="9737" max="9737" width="8.7109375" bestFit="1" customWidth="1"/>
    <col min="9738" max="9738" width="11.7109375" bestFit="1" customWidth="1"/>
    <col min="9739" max="9739" width="2.42578125" customWidth="1"/>
    <col min="9740" max="9740" width="12.5703125" bestFit="1" customWidth="1"/>
    <col min="9987" max="9988" width="11.140625" customWidth="1"/>
    <col min="9989" max="9989" width="0" hidden="1" customWidth="1"/>
    <col min="9990" max="9990" width="12" bestFit="1" customWidth="1"/>
    <col min="9991" max="9991" width="11.7109375" customWidth="1"/>
    <col min="9992" max="9992" width="12.7109375" bestFit="1" customWidth="1"/>
    <col min="9993" max="9993" width="8.7109375" bestFit="1" customWidth="1"/>
    <col min="9994" max="9994" width="11.7109375" bestFit="1" customWidth="1"/>
    <col min="9995" max="9995" width="2.42578125" customWidth="1"/>
    <col min="9996" max="9996" width="12.5703125" bestFit="1" customWidth="1"/>
    <col min="10243" max="10244" width="11.140625" customWidth="1"/>
    <col min="10245" max="10245" width="0" hidden="1" customWidth="1"/>
    <col min="10246" max="10246" width="12" bestFit="1" customWidth="1"/>
    <col min="10247" max="10247" width="11.7109375" customWidth="1"/>
    <col min="10248" max="10248" width="12.7109375" bestFit="1" customWidth="1"/>
    <col min="10249" max="10249" width="8.7109375" bestFit="1" customWidth="1"/>
    <col min="10250" max="10250" width="11.7109375" bestFit="1" customWidth="1"/>
    <col min="10251" max="10251" width="2.42578125" customWidth="1"/>
    <col min="10252" max="10252" width="12.5703125" bestFit="1" customWidth="1"/>
    <col min="10499" max="10500" width="11.140625" customWidth="1"/>
    <col min="10501" max="10501" width="0" hidden="1" customWidth="1"/>
    <col min="10502" max="10502" width="12" bestFit="1" customWidth="1"/>
    <col min="10503" max="10503" width="11.7109375" customWidth="1"/>
    <col min="10504" max="10504" width="12.7109375" bestFit="1" customWidth="1"/>
    <col min="10505" max="10505" width="8.7109375" bestFit="1" customWidth="1"/>
    <col min="10506" max="10506" width="11.7109375" bestFit="1" customWidth="1"/>
    <col min="10507" max="10507" width="2.42578125" customWidth="1"/>
    <col min="10508" max="10508" width="12.5703125" bestFit="1" customWidth="1"/>
    <col min="10755" max="10756" width="11.140625" customWidth="1"/>
    <col min="10757" max="10757" width="0" hidden="1" customWidth="1"/>
    <col min="10758" max="10758" width="12" bestFit="1" customWidth="1"/>
    <col min="10759" max="10759" width="11.7109375" customWidth="1"/>
    <col min="10760" max="10760" width="12.7109375" bestFit="1" customWidth="1"/>
    <col min="10761" max="10761" width="8.7109375" bestFit="1" customWidth="1"/>
    <col min="10762" max="10762" width="11.7109375" bestFit="1" customWidth="1"/>
    <col min="10763" max="10763" width="2.42578125" customWidth="1"/>
    <col min="10764" max="10764" width="12.5703125" bestFit="1" customWidth="1"/>
    <col min="11011" max="11012" width="11.140625" customWidth="1"/>
    <col min="11013" max="11013" width="0" hidden="1" customWidth="1"/>
    <col min="11014" max="11014" width="12" bestFit="1" customWidth="1"/>
    <col min="11015" max="11015" width="11.7109375" customWidth="1"/>
    <col min="11016" max="11016" width="12.7109375" bestFit="1" customWidth="1"/>
    <col min="11017" max="11017" width="8.7109375" bestFit="1" customWidth="1"/>
    <col min="11018" max="11018" width="11.7109375" bestFit="1" customWidth="1"/>
    <col min="11019" max="11019" width="2.42578125" customWidth="1"/>
    <col min="11020" max="11020" width="12.5703125" bestFit="1" customWidth="1"/>
    <col min="11267" max="11268" width="11.140625" customWidth="1"/>
    <col min="11269" max="11269" width="0" hidden="1" customWidth="1"/>
    <col min="11270" max="11270" width="12" bestFit="1" customWidth="1"/>
    <col min="11271" max="11271" width="11.7109375" customWidth="1"/>
    <col min="11272" max="11272" width="12.7109375" bestFit="1" customWidth="1"/>
    <col min="11273" max="11273" width="8.7109375" bestFit="1" customWidth="1"/>
    <col min="11274" max="11274" width="11.7109375" bestFit="1" customWidth="1"/>
    <col min="11275" max="11275" width="2.42578125" customWidth="1"/>
    <col min="11276" max="11276" width="12.5703125" bestFit="1" customWidth="1"/>
    <col min="11523" max="11524" width="11.140625" customWidth="1"/>
    <col min="11525" max="11525" width="0" hidden="1" customWidth="1"/>
    <col min="11526" max="11526" width="12" bestFit="1" customWidth="1"/>
    <col min="11527" max="11527" width="11.7109375" customWidth="1"/>
    <col min="11528" max="11528" width="12.7109375" bestFit="1" customWidth="1"/>
    <col min="11529" max="11529" width="8.7109375" bestFit="1" customWidth="1"/>
    <col min="11530" max="11530" width="11.7109375" bestFit="1" customWidth="1"/>
    <col min="11531" max="11531" width="2.42578125" customWidth="1"/>
    <col min="11532" max="11532" width="12.5703125" bestFit="1" customWidth="1"/>
    <col min="11779" max="11780" width="11.140625" customWidth="1"/>
    <col min="11781" max="11781" width="0" hidden="1" customWidth="1"/>
    <col min="11782" max="11782" width="12" bestFit="1" customWidth="1"/>
    <col min="11783" max="11783" width="11.7109375" customWidth="1"/>
    <col min="11784" max="11784" width="12.7109375" bestFit="1" customWidth="1"/>
    <col min="11785" max="11785" width="8.7109375" bestFit="1" customWidth="1"/>
    <col min="11786" max="11786" width="11.7109375" bestFit="1" customWidth="1"/>
    <col min="11787" max="11787" width="2.42578125" customWidth="1"/>
    <col min="11788" max="11788" width="12.5703125" bestFit="1" customWidth="1"/>
    <col min="12035" max="12036" width="11.140625" customWidth="1"/>
    <col min="12037" max="12037" width="0" hidden="1" customWidth="1"/>
    <col min="12038" max="12038" width="12" bestFit="1" customWidth="1"/>
    <col min="12039" max="12039" width="11.7109375" customWidth="1"/>
    <col min="12040" max="12040" width="12.7109375" bestFit="1" customWidth="1"/>
    <col min="12041" max="12041" width="8.7109375" bestFit="1" customWidth="1"/>
    <col min="12042" max="12042" width="11.7109375" bestFit="1" customWidth="1"/>
    <col min="12043" max="12043" width="2.42578125" customWidth="1"/>
    <col min="12044" max="12044" width="12.5703125" bestFit="1" customWidth="1"/>
    <col min="12291" max="12292" width="11.140625" customWidth="1"/>
    <col min="12293" max="12293" width="0" hidden="1" customWidth="1"/>
    <col min="12294" max="12294" width="12" bestFit="1" customWidth="1"/>
    <col min="12295" max="12295" width="11.7109375" customWidth="1"/>
    <col min="12296" max="12296" width="12.7109375" bestFit="1" customWidth="1"/>
    <col min="12297" max="12297" width="8.7109375" bestFit="1" customWidth="1"/>
    <col min="12298" max="12298" width="11.7109375" bestFit="1" customWidth="1"/>
    <col min="12299" max="12299" width="2.42578125" customWidth="1"/>
    <col min="12300" max="12300" width="12.5703125" bestFit="1" customWidth="1"/>
    <col min="12547" max="12548" width="11.140625" customWidth="1"/>
    <col min="12549" max="12549" width="0" hidden="1" customWidth="1"/>
    <col min="12550" max="12550" width="12" bestFit="1" customWidth="1"/>
    <col min="12551" max="12551" width="11.7109375" customWidth="1"/>
    <col min="12552" max="12552" width="12.7109375" bestFit="1" customWidth="1"/>
    <col min="12553" max="12553" width="8.7109375" bestFit="1" customWidth="1"/>
    <col min="12554" max="12554" width="11.7109375" bestFit="1" customWidth="1"/>
    <col min="12555" max="12555" width="2.42578125" customWidth="1"/>
    <col min="12556" max="12556" width="12.5703125" bestFit="1" customWidth="1"/>
    <col min="12803" max="12804" width="11.140625" customWidth="1"/>
    <col min="12805" max="12805" width="0" hidden="1" customWidth="1"/>
    <col min="12806" max="12806" width="12" bestFit="1" customWidth="1"/>
    <col min="12807" max="12807" width="11.7109375" customWidth="1"/>
    <col min="12808" max="12808" width="12.7109375" bestFit="1" customWidth="1"/>
    <col min="12809" max="12809" width="8.7109375" bestFit="1" customWidth="1"/>
    <col min="12810" max="12810" width="11.7109375" bestFit="1" customWidth="1"/>
    <col min="12811" max="12811" width="2.42578125" customWidth="1"/>
    <col min="12812" max="12812" width="12.5703125" bestFit="1" customWidth="1"/>
    <col min="13059" max="13060" width="11.140625" customWidth="1"/>
    <col min="13061" max="13061" width="0" hidden="1" customWidth="1"/>
    <col min="13062" max="13062" width="12" bestFit="1" customWidth="1"/>
    <col min="13063" max="13063" width="11.7109375" customWidth="1"/>
    <col min="13064" max="13064" width="12.7109375" bestFit="1" customWidth="1"/>
    <col min="13065" max="13065" width="8.7109375" bestFit="1" customWidth="1"/>
    <col min="13066" max="13066" width="11.7109375" bestFit="1" customWidth="1"/>
    <col min="13067" max="13067" width="2.42578125" customWidth="1"/>
    <col min="13068" max="13068" width="12.5703125" bestFit="1" customWidth="1"/>
    <col min="13315" max="13316" width="11.140625" customWidth="1"/>
    <col min="13317" max="13317" width="0" hidden="1" customWidth="1"/>
    <col min="13318" max="13318" width="12" bestFit="1" customWidth="1"/>
    <col min="13319" max="13319" width="11.7109375" customWidth="1"/>
    <col min="13320" max="13320" width="12.7109375" bestFit="1" customWidth="1"/>
    <col min="13321" max="13321" width="8.7109375" bestFit="1" customWidth="1"/>
    <col min="13322" max="13322" width="11.7109375" bestFit="1" customWidth="1"/>
    <col min="13323" max="13323" width="2.42578125" customWidth="1"/>
    <col min="13324" max="13324" width="12.5703125" bestFit="1" customWidth="1"/>
    <col min="13571" max="13572" width="11.140625" customWidth="1"/>
    <col min="13573" max="13573" width="0" hidden="1" customWidth="1"/>
    <col min="13574" max="13574" width="12" bestFit="1" customWidth="1"/>
    <col min="13575" max="13575" width="11.7109375" customWidth="1"/>
    <col min="13576" max="13576" width="12.7109375" bestFit="1" customWidth="1"/>
    <col min="13577" max="13577" width="8.7109375" bestFit="1" customWidth="1"/>
    <col min="13578" max="13578" width="11.7109375" bestFit="1" customWidth="1"/>
    <col min="13579" max="13579" width="2.42578125" customWidth="1"/>
    <col min="13580" max="13580" width="12.5703125" bestFit="1" customWidth="1"/>
    <col min="13827" max="13828" width="11.140625" customWidth="1"/>
    <col min="13829" max="13829" width="0" hidden="1" customWidth="1"/>
    <col min="13830" max="13830" width="12" bestFit="1" customWidth="1"/>
    <col min="13831" max="13831" width="11.7109375" customWidth="1"/>
    <col min="13832" max="13832" width="12.7109375" bestFit="1" customWidth="1"/>
    <col min="13833" max="13833" width="8.7109375" bestFit="1" customWidth="1"/>
    <col min="13834" max="13834" width="11.7109375" bestFit="1" customWidth="1"/>
    <col min="13835" max="13835" width="2.42578125" customWidth="1"/>
    <col min="13836" max="13836" width="12.5703125" bestFit="1" customWidth="1"/>
    <col min="14083" max="14084" width="11.140625" customWidth="1"/>
    <col min="14085" max="14085" width="0" hidden="1" customWidth="1"/>
    <col min="14086" max="14086" width="12" bestFit="1" customWidth="1"/>
    <col min="14087" max="14087" width="11.7109375" customWidth="1"/>
    <col min="14088" max="14088" width="12.7109375" bestFit="1" customWidth="1"/>
    <col min="14089" max="14089" width="8.7109375" bestFit="1" customWidth="1"/>
    <col min="14090" max="14090" width="11.7109375" bestFit="1" customWidth="1"/>
    <col min="14091" max="14091" width="2.42578125" customWidth="1"/>
    <col min="14092" max="14092" width="12.5703125" bestFit="1" customWidth="1"/>
    <col min="14339" max="14340" width="11.140625" customWidth="1"/>
    <col min="14341" max="14341" width="0" hidden="1" customWidth="1"/>
    <col min="14342" max="14342" width="12" bestFit="1" customWidth="1"/>
    <col min="14343" max="14343" width="11.7109375" customWidth="1"/>
    <col min="14344" max="14344" width="12.7109375" bestFit="1" customWidth="1"/>
    <col min="14345" max="14345" width="8.7109375" bestFit="1" customWidth="1"/>
    <col min="14346" max="14346" width="11.7109375" bestFit="1" customWidth="1"/>
    <col min="14347" max="14347" width="2.42578125" customWidth="1"/>
    <col min="14348" max="14348" width="12.5703125" bestFit="1" customWidth="1"/>
    <col min="14595" max="14596" width="11.140625" customWidth="1"/>
    <col min="14597" max="14597" width="0" hidden="1" customWidth="1"/>
    <col min="14598" max="14598" width="12" bestFit="1" customWidth="1"/>
    <col min="14599" max="14599" width="11.7109375" customWidth="1"/>
    <col min="14600" max="14600" width="12.7109375" bestFit="1" customWidth="1"/>
    <col min="14601" max="14601" width="8.7109375" bestFit="1" customWidth="1"/>
    <col min="14602" max="14602" width="11.7109375" bestFit="1" customWidth="1"/>
    <col min="14603" max="14603" width="2.42578125" customWidth="1"/>
    <col min="14604" max="14604" width="12.5703125" bestFit="1" customWidth="1"/>
    <col min="14851" max="14852" width="11.140625" customWidth="1"/>
    <col min="14853" max="14853" width="0" hidden="1" customWidth="1"/>
    <col min="14854" max="14854" width="12" bestFit="1" customWidth="1"/>
    <col min="14855" max="14855" width="11.7109375" customWidth="1"/>
    <col min="14856" max="14856" width="12.7109375" bestFit="1" customWidth="1"/>
    <col min="14857" max="14857" width="8.7109375" bestFit="1" customWidth="1"/>
    <col min="14858" max="14858" width="11.7109375" bestFit="1" customWidth="1"/>
    <col min="14859" max="14859" width="2.42578125" customWidth="1"/>
    <col min="14860" max="14860" width="12.5703125" bestFit="1" customWidth="1"/>
    <col min="15107" max="15108" width="11.140625" customWidth="1"/>
    <col min="15109" max="15109" width="0" hidden="1" customWidth="1"/>
    <col min="15110" max="15110" width="12" bestFit="1" customWidth="1"/>
    <col min="15111" max="15111" width="11.7109375" customWidth="1"/>
    <col min="15112" max="15112" width="12.7109375" bestFit="1" customWidth="1"/>
    <col min="15113" max="15113" width="8.7109375" bestFit="1" customWidth="1"/>
    <col min="15114" max="15114" width="11.7109375" bestFit="1" customWidth="1"/>
    <col min="15115" max="15115" width="2.42578125" customWidth="1"/>
    <col min="15116" max="15116" width="12.5703125" bestFit="1" customWidth="1"/>
    <col min="15363" max="15364" width="11.140625" customWidth="1"/>
    <col min="15365" max="15365" width="0" hidden="1" customWidth="1"/>
    <col min="15366" max="15366" width="12" bestFit="1" customWidth="1"/>
    <col min="15367" max="15367" width="11.7109375" customWidth="1"/>
    <col min="15368" max="15368" width="12.7109375" bestFit="1" customWidth="1"/>
    <col min="15369" max="15369" width="8.7109375" bestFit="1" customWidth="1"/>
    <col min="15370" max="15370" width="11.7109375" bestFit="1" customWidth="1"/>
    <col min="15371" max="15371" width="2.42578125" customWidth="1"/>
    <col min="15372" max="15372" width="12.5703125" bestFit="1" customWidth="1"/>
    <col min="15619" max="15620" width="11.140625" customWidth="1"/>
    <col min="15621" max="15621" width="0" hidden="1" customWidth="1"/>
    <col min="15622" max="15622" width="12" bestFit="1" customWidth="1"/>
    <col min="15623" max="15623" width="11.7109375" customWidth="1"/>
    <col min="15624" max="15624" width="12.7109375" bestFit="1" customWidth="1"/>
    <col min="15625" max="15625" width="8.7109375" bestFit="1" customWidth="1"/>
    <col min="15626" max="15626" width="11.7109375" bestFit="1" customWidth="1"/>
    <col min="15627" max="15627" width="2.42578125" customWidth="1"/>
    <col min="15628" max="15628" width="12.5703125" bestFit="1" customWidth="1"/>
    <col min="15875" max="15876" width="11.140625" customWidth="1"/>
    <col min="15877" max="15877" width="0" hidden="1" customWidth="1"/>
    <col min="15878" max="15878" width="12" bestFit="1" customWidth="1"/>
    <col min="15879" max="15879" width="11.7109375" customWidth="1"/>
    <col min="15880" max="15880" width="12.7109375" bestFit="1" customWidth="1"/>
    <col min="15881" max="15881" width="8.7109375" bestFit="1" customWidth="1"/>
    <col min="15882" max="15882" width="11.7109375" bestFit="1" customWidth="1"/>
    <col min="15883" max="15883" width="2.42578125" customWidth="1"/>
    <col min="15884" max="15884" width="12.5703125" bestFit="1" customWidth="1"/>
    <col min="16131" max="16132" width="11.140625" customWidth="1"/>
    <col min="16133" max="16133" width="0" hidden="1" customWidth="1"/>
    <col min="16134" max="16134" width="12" bestFit="1" customWidth="1"/>
    <col min="16135" max="16135" width="11.7109375" customWidth="1"/>
    <col min="16136" max="16136" width="12.7109375" bestFit="1" customWidth="1"/>
    <col min="16137" max="16137" width="8.7109375" bestFit="1" customWidth="1"/>
    <col min="16138" max="16138" width="11.7109375" bestFit="1" customWidth="1"/>
    <col min="16139" max="16139" width="2.42578125" customWidth="1"/>
    <col min="16140" max="16140" width="12.570312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  <c r="E4" t="s">
        <v>39</v>
      </c>
    </row>
    <row r="6" spans="1:11" ht="15.75" x14ac:dyDescent="0.25">
      <c r="A6" s="28" t="s">
        <v>40</v>
      </c>
      <c r="B6" s="28"/>
      <c r="C6" s="28"/>
      <c r="D6" s="28"/>
      <c r="E6" s="28"/>
      <c r="F6" s="28"/>
      <c r="G6" s="28"/>
    </row>
    <row r="7" spans="1:11" x14ac:dyDescent="0.25">
      <c r="D7" s="9" t="s">
        <v>41</v>
      </c>
      <c r="G7" t="s">
        <v>46</v>
      </c>
    </row>
    <row r="8" spans="1:11" x14ac:dyDescent="0.25">
      <c r="A8" t="s">
        <v>5</v>
      </c>
    </row>
    <row r="9" spans="1:11" x14ac:dyDescent="0.25">
      <c r="D9" s="2">
        <v>45108</v>
      </c>
      <c r="E9" s="2">
        <v>40360</v>
      </c>
      <c r="G9" s="2" t="s">
        <v>62</v>
      </c>
      <c r="I9" s="2">
        <v>45839</v>
      </c>
      <c r="J9" s="2"/>
      <c r="K9" s="2"/>
    </row>
    <row r="10" spans="1:11" x14ac:dyDescent="0.25">
      <c r="D10" s="2">
        <v>45473</v>
      </c>
      <c r="E10" s="2">
        <v>40724</v>
      </c>
      <c r="G10" s="2">
        <v>45838</v>
      </c>
      <c r="I10" s="2">
        <v>46203</v>
      </c>
      <c r="J10" s="2"/>
      <c r="K10" s="2"/>
    </row>
    <row r="11" spans="1:11" x14ac:dyDescent="0.25">
      <c r="A11" s="4" t="s">
        <v>6</v>
      </c>
    </row>
    <row r="12" spans="1:11" x14ac:dyDescent="0.25">
      <c r="A12" t="s">
        <v>7</v>
      </c>
      <c r="D12" s="5">
        <v>32.549999999999997</v>
      </c>
      <c r="E12" s="6">
        <v>26.6</v>
      </c>
      <c r="F12" s="5"/>
      <c r="G12" s="5">
        <f>32.55+0.55</f>
        <v>33.099999999999994</v>
      </c>
      <c r="I12" s="5">
        <f>32.55+0.55+0.55</f>
        <v>33.649999999999991</v>
      </c>
      <c r="K12" s="6"/>
    </row>
    <row r="13" spans="1:11" x14ac:dyDescent="0.25">
      <c r="A13" t="s">
        <v>8</v>
      </c>
      <c r="D13" s="5">
        <f>D12+(32.55*0.1)</f>
        <v>35.805</v>
      </c>
      <c r="E13" s="6">
        <v>28.6</v>
      </c>
      <c r="F13" s="5"/>
      <c r="G13" s="5">
        <f>G12+(G12*0.1)</f>
        <v>36.409999999999997</v>
      </c>
      <c r="I13" s="5">
        <f>I12+(I12*0.1)</f>
        <v>37.014999999999993</v>
      </c>
      <c r="J13" s="5"/>
      <c r="K13" s="6"/>
    </row>
    <row r="14" spans="1:11" x14ac:dyDescent="0.25">
      <c r="A14" t="s">
        <v>9</v>
      </c>
      <c r="D14" s="5">
        <f>D12+1</f>
        <v>33.549999999999997</v>
      </c>
      <c r="E14" s="6">
        <v>26.85</v>
      </c>
      <c r="F14" s="5"/>
      <c r="G14" s="5">
        <f>G12+1</f>
        <v>34.099999999999994</v>
      </c>
      <c r="I14" s="5">
        <f>I12+1</f>
        <v>34.649999999999991</v>
      </c>
      <c r="J14" s="5"/>
      <c r="K14" s="6"/>
    </row>
    <row r="15" spans="1:11" x14ac:dyDescent="0.25">
      <c r="A15" t="s">
        <v>10</v>
      </c>
      <c r="D15" s="5">
        <f>D12+1</f>
        <v>33.549999999999997</v>
      </c>
      <c r="E15" s="6">
        <v>26.85</v>
      </c>
      <c r="F15" s="5"/>
      <c r="G15" s="5">
        <f>G12+1</f>
        <v>34.099999999999994</v>
      </c>
      <c r="I15" s="5">
        <f>I12+1</f>
        <v>34.649999999999991</v>
      </c>
      <c r="J15" s="5"/>
      <c r="K15" s="6"/>
    </row>
    <row r="16" spans="1:11" x14ac:dyDescent="0.25">
      <c r="A16" t="s">
        <v>11</v>
      </c>
      <c r="D16" s="5">
        <f>D15+(D15*0.1)</f>
        <v>36.904999999999994</v>
      </c>
      <c r="E16" s="6">
        <v>28.85</v>
      </c>
      <c r="F16" s="5"/>
      <c r="G16" s="5">
        <f>G15+(G15*0.1)</f>
        <v>37.509999999999991</v>
      </c>
      <c r="I16" s="5">
        <f>I15+(I15*0.1)</f>
        <v>38.114999999999988</v>
      </c>
      <c r="K16" s="6"/>
    </row>
    <row r="17" spans="1:12" x14ac:dyDescent="0.25">
      <c r="A17" t="s">
        <v>12</v>
      </c>
      <c r="D17" s="5">
        <f>D12+(32.55*0.1)+1</f>
        <v>36.805</v>
      </c>
      <c r="E17" s="6">
        <v>29.15</v>
      </c>
      <c r="F17" s="5"/>
      <c r="G17" s="5">
        <f>G12+(G12*0.1)+1</f>
        <v>37.409999999999997</v>
      </c>
      <c r="I17" s="5">
        <f>I12+(I12*0.1)+1</f>
        <v>38.014999999999993</v>
      </c>
      <c r="K17" s="6"/>
    </row>
    <row r="18" spans="1:12" x14ac:dyDescent="0.25">
      <c r="A18" t="s">
        <v>13</v>
      </c>
      <c r="D18" s="5">
        <f>32.55+1</f>
        <v>33.549999999999997</v>
      </c>
      <c r="E18" s="6"/>
      <c r="F18" s="5"/>
      <c r="G18" s="5">
        <f>G12+1</f>
        <v>34.099999999999994</v>
      </c>
      <c r="I18" s="5">
        <f>I12+1</f>
        <v>34.649999999999991</v>
      </c>
      <c r="K18" s="6"/>
    </row>
    <row r="19" spans="1:12" x14ac:dyDescent="0.25">
      <c r="D19" s="5"/>
      <c r="E19" s="6"/>
      <c r="F19" s="5"/>
      <c r="G19" s="5"/>
      <c r="I19" s="5"/>
      <c r="K19" s="6"/>
    </row>
    <row r="20" spans="1:12" x14ac:dyDescent="0.25">
      <c r="A20" s="4" t="s">
        <v>14</v>
      </c>
      <c r="D20" s="5"/>
      <c r="E20" s="6"/>
      <c r="F20" s="5"/>
      <c r="G20" s="5"/>
      <c r="I20" s="5"/>
      <c r="K20" s="6"/>
    </row>
    <row r="21" spans="1:12" x14ac:dyDescent="0.25">
      <c r="A21" t="s">
        <v>15</v>
      </c>
      <c r="D21" s="5">
        <v>24.22</v>
      </c>
      <c r="E21" s="6">
        <v>16.62</v>
      </c>
      <c r="F21" s="5"/>
      <c r="G21" s="5">
        <v>24.22</v>
      </c>
      <c r="I21" s="5">
        <v>24.22</v>
      </c>
      <c r="J21" s="5"/>
      <c r="K21" s="6"/>
    </row>
    <row r="22" spans="1:12" x14ac:dyDescent="0.25">
      <c r="A22" t="s">
        <v>16</v>
      </c>
      <c r="D22" s="5">
        <f>6+0.5+0.75</f>
        <v>7.25</v>
      </c>
      <c r="E22" s="6">
        <v>6</v>
      </c>
      <c r="F22" s="5"/>
      <c r="G22" s="5">
        <f>6+0.5+0.75</f>
        <v>7.25</v>
      </c>
      <c r="I22" s="5">
        <f>6+0.5+0.75</f>
        <v>7.25</v>
      </c>
      <c r="J22" s="5"/>
      <c r="K22" s="6"/>
    </row>
    <row r="23" spans="1:12" x14ac:dyDescent="0.25">
      <c r="D23" s="5"/>
      <c r="E23" s="6"/>
      <c r="F23" s="5"/>
      <c r="G23" s="5"/>
      <c r="I23" s="5"/>
      <c r="J23" s="6"/>
      <c r="K23" s="6"/>
    </row>
    <row r="24" spans="1:12" x14ac:dyDescent="0.25">
      <c r="A24" s="7" t="s">
        <v>17</v>
      </c>
      <c r="B24" t="s">
        <v>18</v>
      </c>
      <c r="E24" s="5"/>
      <c r="F24" s="5"/>
      <c r="G24" s="5"/>
      <c r="J24" s="5"/>
      <c r="L24" s="5"/>
    </row>
    <row r="25" spans="1:12" x14ac:dyDescent="0.25">
      <c r="A25" s="4" t="s">
        <v>19</v>
      </c>
      <c r="D25" s="5"/>
      <c r="E25" s="6"/>
      <c r="F25" s="5"/>
      <c r="G25" s="5"/>
      <c r="I25" s="5"/>
      <c r="K25" s="6"/>
    </row>
    <row r="26" spans="1:12" x14ac:dyDescent="0.25">
      <c r="A26" t="s">
        <v>20</v>
      </c>
      <c r="D26" s="20" t="s">
        <v>21</v>
      </c>
      <c r="E26" s="6">
        <v>2</v>
      </c>
      <c r="F26" s="5"/>
      <c r="G26" s="20" t="s">
        <v>21</v>
      </c>
      <c r="I26" s="20" t="s">
        <v>21</v>
      </c>
      <c r="K26" s="6"/>
      <c r="L26" s="5">
        <f>I12+I21+I22</f>
        <v>65.11999999999999</v>
      </c>
    </row>
    <row r="27" spans="1:12" x14ac:dyDescent="0.25">
      <c r="D27" s="9" t="s">
        <v>55</v>
      </c>
      <c r="E27" s="5"/>
      <c r="F27" s="5"/>
      <c r="G27" s="9" t="s">
        <v>56</v>
      </c>
      <c r="I27" s="9" t="s">
        <v>66</v>
      </c>
    </row>
    <row r="28" spans="1:12" x14ac:dyDescent="0.25">
      <c r="D28" s="9"/>
      <c r="E28" s="5"/>
      <c r="F28" s="5"/>
      <c r="G28" s="9"/>
      <c r="I28" s="9"/>
    </row>
    <row r="29" spans="1:12" x14ac:dyDescent="0.25">
      <c r="A29" t="s">
        <v>50</v>
      </c>
      <c r="D29" s="5">
        <f>1.15+0.25+0.15+0.15</f>
        <v>1.6999999999999997</v>
      </c>
      <c r="E29" s="6">
        <v>0.3</v>
      </c>
      <c r="F29" s="5"/>
      <c r="G29" s="5">
        <f>1.15+0.25+0.15+0.15</f>
        <v>1.6999999999999997</v>
      </c>
      <c r="I29" s="5">
        <f>1.15+0.25+0.15+0.15</f>
        <v>1.6999999999999997</v>
      </c>
      <c r="K29" s="6"/>
    </row>
    <row r="30" spans="1:12" x14ac:dyDescent="0.25">
      <c r="A30" s="21" t="s">
        <v>23</v>
      </c>
      <c r="D30" s="5">
        <v>0.05</v>
      </c>
      <c r="E30" s="6"/>
      <c r="F30" s="5"/>
      <c r="G30" s="5">
        <v>0.05</v>
      </c>
      <c r="I30" s="5">
        <v>0.05</v>
      </c>
    </row>
    <row r="31" spans="1:12" x14ac:dyDescent="0.25">
      <c r="A31" s="9" t="s">
        <v>47</v>
      </c>
      <c r="B31" s="12"/>
      <c r="C31" s="12"/>
      <c r="D31" s="12"/>
      <c r="E31" s="12"/>
      <c r="F31" s="12"/>
    </row>
    <row r="32" spans="1:12" x14ac:dyDescent="0.25">
      <c r="A32" s="9"/>
      <c r="B32" s="12"/>
      <c r="C32" s="12"/>
      <c r="D32" s="12"/>
      <c r="E32" s="12"/>
      <c r="F32" s="12"/>
    </row>
    <row r="33" spans="1:13" x14ac:dyDescent="0.25">
      <c r="A33" s="12" t="s">
        <v>25</v>
      </c>
      <c r="B33" s="12"/>
      <c r="C33" s="12"/>
      <c r="D33" s="12"/>
      <c r="E33" s="12"/>
      <c r="F33" s="12"/>
      <c r="G33" s="12" t="s">
        <v>26</v>
      </c>
    </row>
    <row r="35" spans="1:13" x14ac:dyDescent="0.25">
      <c r="A35" s="13" t="s">
        <v>67</v>
      </c>
      <c r="B35" s="13"/>
      <c r="C35" s="13"/>
      <c r="D35" s="13"/>
      <c r="E35" s="13"/>
      <c r="F35" s="13"/>
    </row>
    <row r="36" spans="1:13" x14ac:dyDescent="0.25">
      <c r="C36" s="14"/>
      <c r="D36" s="14" t="s">
        <v>27</v>
      </c>
      <c r="E36" s="14" t="s">
        <v>27</v>
      </c>
      <c r="F36" s="14"/>
      <c r="G36" s="14"/>
      <c r="H36" s="14" t="s">
        <v>28</v>
      </c>
      <c r="I36" s="14"/>
      <c r="J36" s="14"/>
      <c r="L36" s="14"/>
    </row>
    <row r="37" spans="1:13" x14ac:dyDescent="0.25">
      <c r="C37" s="16" t="s">
        <v>29</v>
      </c>
      <c r="D37" s="16" t="s">
        <v>30</v>
      </c>
      <c r="E37" s="16" t="s">
        <v>30</v>
      </c>
      <c r="F37" s="16"/>
      <c r="G37" s="16" t="s">
        <v>16</v>
      </c>
      <c r="H37" s="16" t="s">
        <v>31</v>
      </c>
      <c r="I37" s="16"/>
      <c r="J37" s="16" t="s">
        <v>32</v>
      </c>
      <c r="L37" s="16"/>
    </row>
    <row r="38" spans="1:13" x14ac:dyDescent="0.25">
      <c r="C38" s="14"/>
      <c r="D38" s="14"/>
      <c r="E38" s="14"/>
      <c r="F38" s="14"/>
      <c r="G38" s="14"/>
      <c r="H38" s="14"/>
      <c r="I38" s="14"/>
      <c r="J38" s="14"/>
      <c r="L38" s="14"/>
    </row>
    <row r="39" spans="1:13" x14ac:dyDescent="0.25">
      <c r="A39" t="s">
        <v>33</v>
      </c>
      <c r="C39" s="5">
        <f>I12*0.6</f>
        <v>20.189999999999994</v>
      </c>
      <c r="D39" s="5">
        <f>8.01+0.35+0.5</f>
        <v>8.86</v>
      </c>
      <c r="E39" s="5">
        <v>0.1</v>
      </c>
      <c r="F39" s="5">
        <v>0.1</v>
      </c>
      <c r="G39" s="5">
        <v>0</v>
      </c>
      <c r="H39" s="5">
        <v>0</v>
      </c>
      <c r="I39" s="5"/>
      <c r="J39" s="5">
        <f>C39+D39+G39</f>
        <v>29.049999999999994</v>
      </c>
      <c r="K39" s="5">
        <f t="shared" ref="K39:K44" si="0">D39+E39+H39+I39+0.05</f>
        <v>9.01</v>
      </c>
      <c r="L39" s="18">
        <f>J39*0.01</f>
        <v>0.29049999999999992</v>
      </c>
      <c r="M39" s="18"/>
    </row>
    <row r="40" spans="1:13" x14ac:dyDescent="0.25">
      <c r="A40" t="s">
        <v>34</v>
      </c>
      <c r="C40" s="5">
        <f>I12*0.65</f>
        <v>21.872499999999995</v>
      </c>
      <c r="D40" s="5">
        <f>10.92+0.39+0.55</f>
        <v>11.860000000000001</v>
      </c>
      <c r="E40" s="5">
        <v>0.1</v>
      </c>
      <c r="F40" s="5">
        <v>0.1</v>
      </c>
      <c r="G40" s="5">
        <v>0</v>
      </c>
      <c r="H40" s="5">
        <v>0</v>
      </c>
      <c r="I40" s="5"/>
      <c r="J40" s="5">
        <f t="shared" ref="J40" si="1">C40+D40+G40</f>
        <v>33.732499999999995</v>
      </c>
      <c r="K40" s="5">
        <f t="shared" si="0"/>
        <v>12.010000000000002</v>
      </c>
      <c r="L40" s="18">
        <f t="shared" ref="L40:L44" si="2">J40*0.01</f>
        <v>0.33732499999999993</v>
      </c>
      <c r="M40" s="18"/>
    </row>
    <row r="41" spans="1:13" x14ac:dyDescent="0.25">
      <c r="A41" t="s">
        <v>35</v>
      </c>
      <c r="C41" s="5">
        <f>I12*0.7</f>
        <v>23.554999999999993</v>
      </c>
      <c r="D41" s="5">
        <f>9.56+0.21+0.3</f>
        <v>10.070000000000002</v>
      </c>
      <c r="E41" s="5">
        <v>0.1</v>
      </c>
      <c r="F41" s="5">
        <v>0.1</v>
      </c>
      <c r="G41" s="5">
        <f>1.21+0.3</f>
        <v>1.51</v>
      </c>
      <c r="H41" s="5">
        <f>0.21+(0.21*0.025)</f>
        <v>0.21525</v>
      </c>
      <c r="I41" s="5"/>
      <c r="J41" s="5">
        <f>C41+D41+G41</f>
        <v>35.134999999999991</v>
      </c>
      <c r="K41" s="5">
        <f t="shared" si="0"/>
        <v>10.435250000000002</v>
      </c>
      <c r="L41" s="18">
        <f t="shared" si="2"/>
        <v>0.35134999999999994</v>
      </c>
      <c r="M41" s="18"/>
    </row>
    <row r="42" spans="1:13" x14ac:dyDescent="0.25">
      <c r="A42" t="s">
        <v>36</v>
      </c>
      <c r="C42" s="5">
        <f>I12*0.75</f>
        <v>25.237499999999994</v>
      </c>
      <c r="D42" s="5">
        <f>11.61+0.23+0.33</f>
        <v>12.17</v>
      </c>
      <c r="E42" s="5">
        <v>0.1</v>
      </c>
      <c r="F42" s="5">
        <v>0.1</v>
      </c>
      <c r="G42" s="5">
        <f>2.23+0.33</f>
        <v>2.56</v>
      </c>
      <c r="H42" s="5">
        <f>0.31+(0.31*0.03)</f>
        <v>0.31929999999999997</v>
      </c>
      <c r="I42" s="5"/>
      <c r="J42" s="5">
        <f>C42+D42+G42</f>
        <v>39.967499999999994</v>
      </c>
      <c r="K42" s="5">
        <f t="shared" si="0"/>
        <v>12.6393</v>
      </c>
      <c r="L42" s="18">
        <f t="shared" si="2"/>
        <v>0.39967499999999995</v>
      </c>
      <c r="M42" s="18"/>
    </row>
    <row r="43" spans="1:13" x14ac:dyDescent="0.25">
      <c r="A43" t="s">
        <v>37</v>
      </c>
      <c r="C43" s="5">
        <f>I12*0.8</f>
        <v>26.919999999999995</v>
      </c>
      <c r="D43" s="5">
        <f>12.55+0.26+0.38</f>
        <v>13.190000000000001</v>
      </c>
      <c r="E43" s="5">
        <v>0.15</v>
      </c>
      <c r="F43" s="5">
        <v>0.15</v>
      </c>
      <c r="G43" s="5">
        <f>3.26+0.38</f>
        <v>3.6399999999999997</v>
      </c>
      <c r="H43" s="5">
        <f>0.36+(0.36*0.035)</f>
        <v>0.37259999999999999</v>
      </c>
      <c r="I43" s="5"/>
      <c r="J43" s="5">
        <f>C43+D43+G43</f>
        <v>43.75</v>
      </c>
      <c r="K43" s="5">
        <f t="shared" si="0"/>
        <v>13.762600000000003</v>
      </c>
      <c r="L43" s="18">
        <f t="shared" si="2"/>
        <v>0.4375</v>
      </c>
      <c r="M43" s="18"/>
    </row>
    <row r="44" spans="1:13" x14ac:dyDescent="0.25">
      <c r="A44" t="s">
        <v>38</v>
      </c>
      <c r="C44" s="5">
        <f>I12*0.85</f>
        <v>28.602499999999992</v>
      </c>
      <c r="D44" s="5">
        <f>14.64+0.3+0.43</f>
        <v>15.370000000000001</v>
      </c>
      <c r="E44" s="5">
        <v>0.15</v>
      </c>
      <c r="F44" s="5">
        <v>0.15</v>
      </c>
      <c r="G44" s="5">
        <f>4.3+0.43</f>
        <v>4.7299999999999995</v>
      </c>
      <c r="H44" s="5">
        <f>0.42+(0.42*0.04)</f>
        <v>0.43679999999999997</v>
      </c>
      <c r="I44" s="5"/>
      <c r="J44" s="5">
        <f>C44+D44+G44</f>
        <v>48.702499999999993</v>
      </c>
      <c r="K44" s="5">
        <f t="shared" si="0"/>
        <v>16.006800000000002</v>
      </c>
      <c r="L44" s="18">
        <f t="shared" si="2"/>
        <v>0.48702499999999993</v>
      </c>
      <c r="M44" s="18"/>
    </row>
    <row r="45" spans="1:13" x14ac:dyDescent="0.25">
      <c r="L45" s="18"/>
      <c r="M45" s="19"/>
    </row>
    <row r="46" spans="1:13" x14ac:dyDescent="0.25">
      <c r="A46" s="13" t="s">
        <v>61</v>
      </c>
      <c r="B46" s="13"/>
      <c r="C46" s="13"/>
      <c r="D46" s="13"/>
      <c r="E46" s="13"/>
      <c r="F46" s="13"/>
    </row>
    <row r="47" spans="1:13" x14ac:dyDescent="0.25">
      <c r="C47" s="14"/>
      <c r="D47" s="14" t="s">
        <v>27</v>
      </c>
      <c r="E47" s="14" t="s">
        <v>27</v>
      </c>
      <c r="F47" s="14"/>
      <c r="G47" s="14"/>
      <c r="H47" s="14" t="s">
        <v>28</v>
      </c>
      <c r="I47" s="14"/>
      <c r="J47" s="14"/>
      <c r="L47" s="14"/>
    </row>
    <row r="48" spans="1:13" x14ac:dyDescent="0.25">
      <c r="C48" s="16" t="s">
        <v>29</v>
      </c>
      <c r="D48" s="16" t="s">
        <v>30</v>
      </c>
      <c r="E48" s="16" t="s">
        <v>30</v>
      </c>
      <c r="F48" s="16"/>
      <c r="G48" s="16" t="s">
        <v>16</v>
      </c>
      <c r="H48" s="16" t="s">
        <v>31</v>
      </c>
      <c r="I48" s="16"/>
      <c r="J48" s="16" t="s">
        <v>32</v>
      </c>
      <c r="L48" s="16"/>
    </row>
    <row r="49" spans="1:13" x14ac:dyDescent="0.25">
      <c r="C49" s="14"/>
      <c r="D49" s="14"/>
      <c r="E49" s="14"/>
      <c r="F49" s="14"/>
      <c r="G49" s="14"/>
      <c r="H49" s="14"/>
      <c r="I49" s="14"/>
      <c r="J49" s="14"/>
      <c r="L49" s="14"/>
    </row>
    <row r="50" spans="1:13" x14ac:dyDescent="0.25">
      <c r="A50" t="s">
        <v>33</v>
      </c>
      <c r="C50" s="5">
        <f>I23*0.6</f>
        <v>0</v>
      </c>
      <c r="D50" s="5">
        <f>8.01+0.35+0.5</f>
        <v>8.86</v>
      </c>
      <c r="E50" s="5">
        <v>0.1</v>
      </c>
      <c r="F50" s="5">
        <v>0.1</v>
      </c>
      <c r="G50" s="5">
        <v>0</v>
      </c>
      <c r="H50" s="5">
        <v>0</v>
      </c>
      <c r="I50" s="5"/>
      <c r="J50" s="5">
        <f>C50+D50+G50</f>
        <v>8.86</v>
      </c>
      <c r="K50" s="5">
        <f t="shared" ref="K50:K55" si="3">D50+E50+H50+I50+0.05</f>
        <v>9.01</v>
      </c>
      <c r="L50" s="18">
        <f>J50*0.01</f>
        <v>8.8599999999999998E-2</v>
      </c>
      <c r="M50" s="18"/>
    </row>
    <row r="51" spans="1:13" x14ac:dyDescent="0.25">
      <c r="A51" t="s">
        <v>34</v>
      </c>
      <c r="C51" s="5">
        <f>32.55*0.65</f>
        <v>21.157499999999999</v>
      </c>
      <c r="D51" s="5">
        <f>10.92+0.39+0.55</f>
        <v>11.860000000000001</v>
      </c>
      <c r="E51" s="5">
        <v>0.1</v>
      </c>
      <c r="F51" s="5">
        <v>0.1</v>
      </c>
      <c r="G51" s="5">
        <v>0</v>
      </c>
      <c r="H51" s="5">
        <v>0</v>
      </c>
      <c r="I51" s="5"/>
      <c r="J51" s="5">
        <f t="shared" ref="J51" si="4">C51+D51+G51</f>
        <v>33.017499999999998</v>
      </c>
      <c r="K51" s="5">
        <f t="shared" si="3"/>
        <v>12.010000000000002</v>
      </c>
      <c r="L51" s="18">
        <f t="shared" ref="L51:L55" si="5">J51*0.01</f>
        <v>0.330175</v>
      </c>
      <c r="M51" s="18"/>
    </row>
    <row r="52" spans="1:13" x14ac:dyDescent="0.25">
      <c r="A52" t="s">
        <v>35</v>
      </c>
      <c r="C52" s="5">
        <f>32.55*0.7</f>
        <v>22.784999999999997</v>
      </c>
      <c r="D52" s="5">
        <f>9.56+0.21+0.3</f>
        <v>10.070000000000002</v>
      </c>
      <c r="E52" s="5">
        <v>0.1</v>
      </c>
      <c r="F52" s="5">
        <v>0.1</v>
      </c>
      <c r="G52" s="5">
        <f>1.21+0.3</f>
        <v>1.51</v>
      </c>
      <c r="H52" s="5">
        <f>0.21+(0.21*0.025)</f>
        <v>0.21525</v>
      </c>
      <c r="I52" s="5"/>
      <c r="J52" s="5">
        <f>C52+D52+G52</f>
        <v>34.364999999999995</v>
      </c>
      <c r="K52" s="5">
        <f t="shared" si="3"/>
        <v>10.435250000000002</v>
      </c>
      <c r="L52" s="18">
        <f t="shared" si="5"/>
        <v>0.34364999999999996</v>
      </c>
      <c r="M52" s="18"/>
    </row>
    <row r="53" spans="1:13" x14ac:dyDescent="0.25">
      <c r="A53" t="s">
        <v>36</v>
      </c>
      <c r="C53" s="5">
        <f>32.55*0.75</f>
        <v>24.412499999999998</v>
      </c>
      <c r="D53" s="5">
        <f>11.61+0.23+0.33</f>
        <v>12.17</v>
      </c>
      <c r="E53" s="5">
        <v>0.1</v>
      </c>
      <c r="F53" s="5">
        <v>0.1</v>
      </c>
      <c r="G53" s="5">
        <f>2.23+0.33</f>
        <v>2.56</v>
      </c>
      <c r="H53" s="5">
        <f>0.31+(0.31*0.03)</f>
        <v>0.31929999999999997</v>
      </c>
      <c r="I53" s="5"/>
      <c r="J53" s="5">
        <f>C53+D53+G53</f>
        <v>39.142499999999998</v>
      </c>
      <c r="K53" s="5">
        <f t="shared" si="3"/>
        <v>12.6393</v>
      </c>
      <c r="L53" s="18">
        <f t="shared" si="5"/>
        <v>0.39142499999999997</v>
      </c>
      <c r="M53" s="18"/>
    </row>
    <row r="54" spans="1:13" x14ac:dyDescent="0.25">
      <c r="A54" t="s">
        <v>37</v>
      </c>
      <c r="C54" s="5">
        <f>32.55*0.8</f>
        <v>26.04</v>
      </c>
      <c r="D54" s="5">
        <f>12.55+0.26+0.38</f>
        <v>13.190000000000001</v>
      </c>
      <c r="E54" s="5">
        <v>0.15</v>
      </c>
      <c r="F54" s="5">
        <v>0.15</v>
      </c>
      <c r="G54" s="5">
        <f>3.26+0.38</f>
        <v>3.6399999999999997</v>
      </c>
      <c r="H54" s="5">
        <f>0.36+(0.36*0.035)</f>
        <v>0.37259999999999999</v>
      </c>
      <c r="I54" s="5"/>
      <c r="J54" s="5">
        <f>C54+D54+G54</f>
        <v>42.870000000000005</v>
      </c>
      <c r="K54" s="5">
        <f t="shared" si="3"/>
        <v>13.762600000000003</v>
      </c>
      <c r="L54" s="18">
        <f t="shared" si="5"/>
        <v>0.42870000000000008</v>
      </c>
      <c r="M54" s="18"/>
    </row>
    <row r="55" spans="1:13" x14ac:dyDescent="0.25">
      <c r="A55" t="s">
        <v>38</v>
      </c>
      <c r="C55" s="5">
        <f>32.55*0.85</f>
        <v>27.667499999999997</v>
      </c>
      <c r="D55" s="5">
        <f>14.64+0.3+0.43</f>
        <v>15.370000000000001</v>
      </c>
      <c r="E55" s="5">
        <v>0.15</v>
      </c>
      <c r="F55" s="5">
        <v>0.15</v>
      </c>
      <c r="G55" s="5">
        <f>4.3+0.43</f>
        <v>4.7299999999999995</v>
      </c>
      <c r="H55" s="5">
        <f>0.42+(0.42*0.04)</f>
        <v>0.43679999999999997</v>
      </c>
      <c r="I55" s="5"/>
      <c r="J55" s="5">
        <f>C55+D55+G55</f>
        <v>47.767499999999991</v>
      </c>
      <c r="K55" s="5">
        <f t="shared" si="3"/>
        <v>16.006800000000002</v>
      </c>
      <c r="L55" s="18">
        <f t="shared" si="5"/>
        <v>0.47767499999999991</v>
      </c>
      <c r="M55" s="18"/>
    </row>
    <row r="56" spans="1:13" x14ac:dyDescent="0.25">
      <c r="M56" s="19"/>
    </row>
    <row r="63" spans="1:13" x14ac:dyDescent="0.25">
      <c r="A63" s="21" t="s">
        <v>45</v>
      </c>
      <c r="E63" s="5"/>
      <c r="F63" s="5"/>
      <c r="G63" s="5"/>
    </row>
  </sheetData>
  <sheetProtection algorithmName="SHA-512" hashValue="G12YFJ7iqhu1Y771zbzXKayOZRdGHNItRx0Go5kpzKViUNHveoKhbTu+nLb0UZqaAUFso2hjEZIBUTn8isUJCA==" saltValue="dvfSSfOxfLCsRVdX8nssog==" spinCount="100000" sheet="1" objects="1" scenarios="1"/>
  <mergeCells count="1">
    <mergeCell ref="A6:G6"/>
  </mergeCells>
  <pageMargins left="0.45" right="0.45" top="0.75" bottom="0.25" header="0.3" footer="0.3"/>
  <pageSetup scale="89"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CB05-787F-45AC-ACA6-D68DF07B5D98}">
  <sheetPr codeName="Sheet5">
    <pageSetUpPr fitToPage="1"/>
  </sheetPr>
  <dimension ref="A1:M63"/>
  <sheetViews>
    <sheetView topLeftCell="A22" workbookViewId="0">
      <selection activeCell="I47" sqref="I47"/>
    </sheetView>
  </sheetViews>
  <sheetFormatPr defaultRowHeight="15" x14ac:dyDescent="0.25"/>
  <cols>
    <col min="3" max="4" width="11.140625" customWidth="1"/>
    <col min="5" max="5" width="10.42578125" hidden="1" customWidth="1"/>
    <col min="6" max="6" width="12" bestFit="1" customWidth="1"/>
    <col min="7" max="7" width="11.7109375" customWidth="1"/>
    <col min="8" max="8" width="12.7109375" bestFit="1" customWidth="1"/>
    <col min="9" max="9" width="8.7109375" bestFit="1" customWidth="1"/>
    <col min="10" max="10" width="11.7109375" bestFit="1" customWidth="1"/>
    <col min="11" max="11" width="2.42578125" customWidth="1"/>
    <col min="12" max="12" width="12.5703125" bestFit="1" customWidth="1"/>
    <col min="259" max="260" width="11.140625" customWidth="1"/>
    <col min="261" max="261" width="0" hidden="1" customWidth="1"/>
    <col min="262" max="262" width="12" bestFit="1" customWidth="1"/>
    <col min="263" max="263" width="11.7109375" customWidth="1"/>
    <col min="264" max="264" width="12.7109375" bestFit="1" customWidth="1"/>
    <col min="265" max="265" width="8.7109375" bestFit="1" customWidth="1"/>
    <col min="266" max="266" width="11.7109375" bestFit="1" customWidth="1"/>
    <col min="267" max="267" width="2.42578125" customWidth="1"/>
    <col min="268" max="268" width="12.5703125" bestFit="1" customWidth="1"/>
    <col min="515" max="516" width="11.140625" customWidth="1"/>
    <col min="517" max="517" width="0" hidden="1" customWidth="1"/>
    <col min="518" max="518" width="12" bestFit="1" customWidth="1"/>
    <col min="519" max="519" width="11.7109375" customWidth="1"/>
    <col min="520" max="520" width="12.7109375" bestFit="1" customWidth="1"/>
    <col min="521" max="521" width="8.7109375" bestFit="1" customWidth="1"/>
    <col min="522" max="522" width="11.7109375" bestFit="1" customWidth="1"/>
    <col min="523" max="523" width="2.42578125" customWidth="1"/>
    <col min="524" max="524" width="12.5703125" bestFit="1" customWidth="1"/>
    <col min="771" max="772" width="11.140625" customWidth="1"/>
    <col min="773" max="773" width="0" hidden="1" customWidth="1"/>
    <col min="774" max="774" width="12" bestFit="1" customWidth="1"/>
    <col min="775" max="775" width="11.7109375" customWidth="1"/>
    <col min="776" max="776" width="12.7109375" bestFit="1" customWidth="1"/>
    <col min="777" max="777" width="8.7109375" bestFit="1" customWidth="1"/>
    <col min="778" max="778" width="11.7109375" bestFit="1" customWidth="1"/>
    <col min="779" max="779" width="2.42578125" customWidth="1"/>
    <col min="780" max="780" width="12.5703125" bestFit="1" customWidth="1"/>
    <col min="1027" max="1028" width="11.140625" customWidth="1"/>
    <col min="1029" max="1029" width="0" hidden="1" customWidth="1"/>
    <col min="1030" max="1030" width="12" bestFit="1" customWidth="1"/>
    <col min="1031" max="1031" width="11.7109375" customWidth="1"/>
    <col min="1032" max="1032" width="12.7109375" bestFit="1" customWidth="1"/>
    <col min="1033" max="1033" width="8.7109375" bestFit="1" customWidth="1"/>
    <col min="1034" max="1034" width="11.7109375" bestFit="1" customWidth="1"/>
    <col min="1035" max="1035" width="2.42578125" customWidth="1"/>
    <col min="1036" max="1036" width="12.5703125" bestFit="1" customWidth="1"/>
    <col min="1283" max="1284" width="11.140625" customWidth="1"/>
    <col min="1285" max="1285" width="0" hidden="1" customWidth="1"/>
    <col min="1286" max="1286" width="12" bestFit="1" customWidth="1"/>
    <col min="1287" max="1287" width="11.7109375" customWidth="1"/>
    <col min="1288" max="1288" width="12.7109375" bestFit="1" customWidth="1"/>
    <col min="1289" max="1289" width="8.7109375" bestFit="1" customWidth="1"/>
    <col min="1290" max="1290" width="11.7109375" bestFit="1" customWidth="1"/>
    <col min="1291" max="1291" width="2.42578125" customWidth="1"/>
    <col min="1292" max="1292" width="12.5703125" bestFit="1" customWidth="1"/>
    <col min="1539" max="1540" width="11.140625" customWidth="1"/>
    <col min="1541" max="1541" width="0" hidden="1" customWidth="1"/>
    <col min="1542" max="1542" width="12" bestFit="1" customWidth="1"/>
    <col min="1543" max="1543" width="11.7109375" customWidth="1"/>
    <col min="1544" max="1544" width="12.7109375" bestFit="1" customWidth="1"/>
    <col min="1545" max="1545" width="8.7109375" bestFit="1" customWidth="1"/>
    <col min="1546" max="1546" width="11.7109375" bestFit="1" customWidth="1"/>
    <col min="1547" max="1547" width="2.42578125" customWidth="1"/>
    <col min="1548" max="1548" width="12.5703125" bestFit="1" customWidth="1"/>
    <col min="1795" max="1796" width="11.140625" customWidth="1"/>
    <col min="1797" max="1797" width="0" hidden="1" customWidth="1"/>
    <col min="1798" max="1798" width="12" bestFit="1" customWidth="1"/>
    <col min="1799" max="1799" width="11.7109375" customWidth="1"/>
    <col min="1800" max="1800" width="12.7109375" bestFit="1" customWidth="1"/>
    <col min="1801" max="1801" width="8.7109375" bestFit="1" customWidth="1"/>
    <col min="1802" max="1802" width="11.7109375" bestFit="1" customWidth="1"/>
    <col min="1803" max="1803" width="2.42578125" customWidth="1"/>
    <col min="1804" max="1804" width="12.5703125" bestFit="1" customWidth="1"/>
    <col min="2051" max="2052" width="11.140625" customWidth="1"/>
    <col min="2053" max="2053" width="0" hidden="1" customWidth="1"/>
    <col min="2054" max="2054" width="12" bestFit="1" customWidth="1"/>
    <col min="2055" max="2055" width="11.7109375" customWidth="1"/>
    <col min="2056" max="2056" width="12.7109375" bestFit="1" customWidth="1"/>
    <col min="2057" max="2057" width="8.7109375" bestFit="1" customWidth="1"/>
    <col min="2058" max="2058" width="11.7109375" bestFit="1" customWidth="1"/>
    <col min="2059" max="2059" width="2.42578125" customWidth="1"/>
    <col min="2060" max="2060" width="12.5703125" bestFit="1" customWidth="1"/>
    <col min="2307" max="2308" width="11.140625" customWidth="1"/>
    <col min="2309" max="2309" width="0" hidden="1" customWidth="1"/>
    <col min="2310" max="2310" width="12" bestFit="1" customWidth="1"/>
    <col min="2311" max="2311" width="11.7109375" customWidth="1"/>
    <col min="2312" max="2312" width="12.7109375" bestFit="1" customWidth="1"/>
    <col min="2313" max="2313" width="8.7109375" bestFit="1" customWidth="1"/>
    <col min="2314" max="2314" width="11.7109375" bestFit="1" customWidth="1"/>
    <col min="2315" max="2315" width="2.42578125" customWidth="1"/>
    <col min="2316" max="2316" width="12.5703125" bestFit="1" customWidth="1"/>
    <col min="2563" max="2564" width="11.140625" customWidth="1"/>
    <col min="2565" max="2565" width="0" hidden="1" customWidth="1"/>
    <col min="2566" max="2566" width="12" bestFit="1" customWidth="1"/>
    <col min="2567" max="2567" width="11.7109375" customWidth="1"/>
    <col min="2568" max="2568" width="12.7109375" bestFit="1" customWidth="1"/>
    <col min="2569" max="2569" width="8.7109375" bestFit="1" customWidth="1"/>
    <col min="2570" max="2570" width="11.7109375" bestFit="1" customWidth="1"/>
    <col min="2571" max="2571" width="2.42578125" customWidth="1"/>
    <col min="2572" max="2572" width="12.5703125" bestFit="1" customWidth="1"/>
    <col min="2819" max="2820" width="11.140625" customWidth="1"/>
    <col min="2821" max="2821" width="0" hidden="1" customWidth="1"/>
    <col min="2822" max="2822" width="12" bestFit="1" customWidth="1"/>
    <col min="2823" max="2823" width="11.7109375" customWidth="1"/>
    <col min="2824" max="2824" width="12.7109375" bestFit="1" customWidth="1"/>
    <col min="2825" max="2825" width="8.7109375" bestFit="1" customWidth="1"/>
    <col min="2826" max="2826" width="11.7109375" bestFit="1" customWidth="1"/>
    <col min="2827" max="2827" width="2.42578125" customWidth="1"/>
    <col min="2828" max="2828" width="12.5703125" bestFit="1" customWidth="1"/>
    <col min="3075" max="3076" width="11.140625" customWidth="1"/>
    <col min="3077" max="3077" width="0" hidden="1" customWidth="1"/>
    <col min="3078" max="3078" width="12" bestFit="1" customWidth="1"/>
    <col min="3079" max="3079" width="11.7109375" customWidth="1"/>
    <col min="3080" max="3080" width="12.7109375" bestFit="1" customWidth="1"/>
    <col min="3081" max="3081" width="8.7109375" bestFit="1" customWidth="1"/>
    <col min="3082" max="3082" width="11.7109375" bestFit="1" customWidth="1"/>
    <col min="3083" max="3083" width="2.42578125" customWidth="1"/>
    <col min="3084" max="3084" width="12.5703125" bestFit="1" customWidth="1"/>
    <col min="3331" max="3332" width="11.140625" customWidth="1"/>
    <col min="3333" max="3333" width="0" hidden="1" customWidth="1"/>
    <col min="3334" max="3334" width="12" bestFit="1" customWidth="1"/>
    <col min="3335" max="3335" width="11.7109375" customWidth="1"/>
    <col min="3336" max="3336" width="12.7109375" bestFit="1" customWidth="1"/>
    <col min="3337" max="3337" width="8.7109375" bestFit="1" customWidth="1"/>
    <col min="3338" max="3338" width="11.7109375" bestFit="1" customWidth="1"/>
    <col min="3339" max="3339" width="2.42578125" customWidth="1"/>
    <col min="3340" max="3340" width="12.5703125" bestFit="1" customWidth="1"/>
    <col min="3587" max="3588" width="11.140625" customWidth="1"/>
    <col min="3589" max="3589" width="0" hidden="1" customWidth="1"/>
    <col min="3590" max="3590" width="12" bestFit="1" customWidth="1"/>
    <col min="3591" max="3591" width="11.7109375" customWidth="1"/>
    <col min="3592" max="3592" width="12.7109375" bestFit="1" customWidth="1"/>
    <col min="3593" max="3593" width="8.7109375" bestFit="1" customWidth="1"/>
    <col min="3594" max="3594" width="11.7109375" bestFit="1" customWidth="1"/>
    <col min="3595" max="3595" width="2.42578125" customWidth="1"/>
    <col min="3596" max="3596" width="12.5703125" bestFit="1" customWidth="1"/>
    <col min="3843" max="3844" width="11.140625" customWidth="1"/>
    <col min="3845" max="3845" width="0" hidden="1" customWidth="1"/>
    <col min="3846" max="3846" width="12" bestFit="1" customWidth="1"/>
    <col min="3847" max="3847" width="11.7109375" customWidth="1"/>
    <col min="3848" max="3848" width="12.7109375" bestFit="1" customWidth="1"/>
    <col min="3849" max="3849" width="8.7109375" bestFit="1" customWidth="1"/>
    <col min="3850" max="3850" width="11.7109375" bestFit="1" customWidth="1"/>
    <col min="3851" max="3851" width="2.42578125" customWidth="1"/>
    <col min="3852" max="3852" width="12.5703125" bestFit="1" customWidth="1"/>
    <col min="4099" max="4100" width="11.140625" customWidth="1"/>
    <col min="4101" max="4101" width="0" hidden="1" customWidth="1"/>
    <col min="4102" max="4102" width="12" bestFit="1" customWidth="1"/>
    <col min="4103" max="4103" width="11.7109375" customWidth="1"/>
    <col min="4104" max="4104" width="12.7109375" bestFit="1" customWidth="1"/>
    <col min="4105" max="4105" width="8.7109375" bestFit="1" customWidth="1"/>
    <col min="4106" max="4106" width="11.7109375" bestFit="1" customWidth="1"/>
    <col min="4107" max="4107" width="2.42578125" customWidth="1"/>
    <col min="4108" max="4108" width="12.5703125" bestFit="1" customWidth="1"/>
    <col min="4355" max="4356" width="11.140625" customWidth="1"/>
    <col min="4357" max="4357" width="0" hidden="1" customWidth="1"/>
    <col min="4358" max="4358" width="12" bestFit="1" customWidth="1"/>
    <col min="4359" max="4359" width="11.7109375" customWidth="1"/>
    <col min="4360" max="4360" width="12.7109375" bestFit="1" customWidth="1"/>
    <col min="4361" max="4361" width="8.7109375" bestFit="1" customWidth="1"/>
    <col min="4362" max="4362" width="11.7109375" bestFit="1" customWidth="1"/>
    <col min="4363" max="4363" width="2.42578125" customWidth="1"/>
    <col min="4364" max="4364" width="12.5703125" bestFit="1" customWidth="1"/>
    <col min="4611" max="4612" width="11.140625" customWidth="1"/>
    <col min="4613" max="4613" width="0" hidden="1" customWidth="1"/>
    <col min="4614" max="4614" width="12" bestFit="1" customWidth="1"/>
    <col min="4615" max="4615" width="11.7109375" customWidth="1"/>
    <col min="4616" max="4616" width="12.7109375" bestFit="1" customWidth="1"/>
    <col min="4617" max="4617" width="8.7109375" bestFit="1" customWidth="1"/>
    <col min="4618" max="4618" width="11.7109375" bestFit="1" customWidth="1"/>
    <col min="4619" max="4619" width="2.42578125" customWidth="1"/>
    <col min="4620" max="4620" width="12.5703125" bestFit="1" customWidth="1"/>
    <col min="4867" max="4868" width="11.140625" customWidth="1"/>
    <col min="4869" max="4869" width="0" hidden="1" customWidth="1"/>
    <col min="4870" max="4870" width="12" bestFit="1" customWidth="1"/>
    <col min="4871" max="4871" width="11.7109375" customWidth="1"/>
    <col min="4872" max="4872" width="12.7109375" bestFit="1" customWidth="1"/>
    <col min="4873" max="4873" width="8.7109375" bestFit="1" customWidth="1"/>
    <col min="4874" max="4874" width="11.7109375" bestFit="1" customWidth="1"/>
    <col min="4875" max="4875" width="2.42578125" customWidth="1"/>
    <col min="4876" max="4876" width="12.5703125" bestFit="1" customWidth="1"/>
    <col min="5123" max="5124" width="11.140625" customWidth="1"/>
    <col min="5125" max="5125" width="0" hidden="1" customWidth="1"/>
    <col min="5126" max="5126" width="12" bestFit="1" customWidth="1"/>
    <col min="5127" max="5127" width="11.7109375" customWidth="1"/>
    <col min="5128" max="5128" width="12.7109375" bestFit="1" customWidth="1"/>
    <col min="5129" max="5129" width="8.7109375" bestFit="1" customWidth="1"/>
    <col min="5130" max="5130" width="11.7109375" bestFit="1" customWidth="1"/>
    <col min="5131" max="5131" width="2.42578125" customWidth="1"/>
    <col min="5132" max="5132" width="12.5703125" bestFit="1" customWidth="1"/>
    <col min="5379" max="5380" width="11.140625" customWidth="1"/>
    <col min="5381" max="5381" width="0" hidden="1" customWidth="1"/>
    <col min="5382" max="5382" width="12" bestFit="1" customWidth="1"/>
    <col min="5383" max="5383" width="11.7109375" customWidth="1"/>
    <col min="5384" max="5384" width="12.7109375" bestFit="1" customWidth="1"/>
    <col min="5385" max="5385" width="8.7109375" bestFit="1" customWidth="1"/>
    <col min="5386" max="5386" width="11.7109375" bestFit="1" customWidth="1"/>
    <col min="5387" max="5387" width="2.42578125" customWidth="1"/>
    <col min="5388" max="5388" width="12.5703125" bestFit="1" customWidth="1"/>
    <col min="5635" max="5636" width="11.140625" customWidth="1"/>
    <col min="5637" max="5637" width="0" hidden="1" customWidth="1"/>
    <col min="5638" max="5638" width="12" bestFit="1" customWidth="1"/>
    <col min="5639" max="5639" width="11.7109375" customWidth="1"/>
    <col min="5640" max="5640" width="12.7109375" bestFit="1" customWidth="1"/>
    <col min="5641" max="5641" width="8.7109375" bestFit="1" customWidth="1"/>
    <col min="5642" max="5642" width="11.7109375" bestFit="1" customWidth="1"/>
    <col min="5643" max="5643" width="2.42578125" customWidth="1"/>
    <col min="5644" max="5644" width="12.5703125" bestFit="1" customWidth="1"/>
    <col min="5891" max="5892" width="11.140625" customWidth="1"/>
    <col min="5893" max="5893" width="0" hidden="1" customWidth="1"/>
    <col min="5894" max="5894" width="12" bestFit="1" customWidth="1"/>
    <col min="5895" max="5895" width="11.7109375" customWidth="1"/>
    <col min="5896" max="5896" width="12.7109375" bestFit="1" customWidth="1"/>
    <col min="5897" max="5897" width="8.7109375" bestFit="1" customWidth="1"/>
    <col min="5898" max="5898" width="11.7109375" bestFit="1" customWidth="1"/>
    <col min="5899" max="5899" width="2.42578125" customWidth="1"/>
    <col min="5900" max="5900" width="12.5703125" bestFit="1" customWidth="1"/>
    <col min="6147" max="6148" width="11.140625" customWidth="1"/>
    <col min="6149" max="6149" width="0" hidden="1" customWidth="1"/>
    <col min="6150" max="6150" width="12" bestFit="1" customWidth="1"/>
    <col min="6151" max="6151" width="11.7109375" customWidth="1"/>
    <col min="6152" max="6152" width="12.7109375" bestFit="1" customWidth="1"/>
    <col min="6153" max="6153" width="8.7109375" bestFit="1" customWidth="1"/>
    <col min="6154" max="6154" width="11.7109375" bestFit="1" customWidth="1"/>
    <col min="6155" max="6155" width="2.42578125" customWidth="1"/>
    <col min="6156" max="6156" width="12.5703125" bestFit="1" customWidth="1"/>
    <col min="6403" max="6404" width="11.140625" customWidth="1"/>
    <col min="6405" max="6405" width="0" hidden="1" customWidth="1"/>
    <col min="6406" max="6406" width="12" bestFit="1" customWidth="1"/>
    <col min="6407" max="6407" width="11.7109375" customWidth="1"/>
    <col min="6408" max="6408" width="12.7109375" bestFit="1" customWidth="1"/>
    <col min="6409" max="6409" width="8.7109375" bestFit="1" customWidth="1"/>
    <col min="6410" max="6410" width="11.7109375" bestFit="1" customWidth="1"/>
    <col min="6411" max="6411" width="2.42578125" customWidth="1"/>
    <col min="6412" max="6412" width="12.5703125" bestFit="1" customWidth="1"/>
    <col min="6659" max="6660" width="11.140625" customWidth="1"/>
    <col min="6661" max="6661" width="0" hidden="1" customWidth="1"/>
    <col min="6662" max="6662" width="12" bestFit="1" customWidth="1"/>
    <col min="6663" max="6663" width="11.7109375" customWidth="1"/>
    <col min="6664" max="6664" width="12.7109375" bestFit="1" customWidth="1"/>
    <col min="6665" max="6665" width="8.7109375" bestFit="1" customWidth="1"/>
    <col min="6666" max="6666" width="11.7109375" bestFit="1" customWidth="1"/>
    <col min="6667" max="6667" width="2.42578125" customWidth="1"/>
    <col min="6668" max="6668" width="12.5703125" bestFit="1" customWidth="1"/>
    <col min="6915" max="6916" width="11.140625" customWidth="1"/>
    <col min="6917" max="6917" width="0" hidden="1" customWidth="1"/>
    <col min="6918" max="6918" width="12" bestFit="1" customWidth="1"/>
    <col min="6919" max="6919" width="11.7109375" customWidth="1"/>
    <col min="6920" max="6920" width="12.7109375" bestFit="1" customWidth="1"/>
    <col min="6921" max="6921" width="8.7109375" bestFit="1" customWidth="1"/>
    <col min="6922" max="6922" width="11.7109375" bestFit="1" customWidth="1"/>
    <col min="6923" max="6923" width="2.42578125" customWidth="1"/>
    <col min="6924" max="6924" width="12.5703125" bestFit="1" customWidth="1"/>
    <col min="7171" max="7172" width="11.140625" customWidth="1"/>
    <col min="7173" max="7173" width="0" hidden="1" customWidth="1"/>
    <col min="7174" max="7174" width="12" bestFit="1" customWidth="1"/>
    <col min="7175" max="7175" width="11.7109375" customWidth="1"/>
    <col min="7176" max="7176" width="12.7109375" bestFit="1" customWidth="1"/>
    <col min="7177" max="7177" width="8.7109375" bestFit="1" customWidth="1"/>
    <col min="7178" max="7178" width="11.7109375" bestFit="1" customWidth="1"/>
    <col min="7179" max="7179" width="2.42578125" customWidth="1"/>
    <col min="7180" max="7180" width="12.5703125" bestFit="1" customWidth="1"/>
    <col min="7427" max="7428" width="11.140625" customWidth="1"/>
    <col min="7429" max="7429" width="0" hidden="1" customWidth="1"/>
    <col min="7430" max="7430" width="12" bestFit="1" customWidth="1"/>
    <col min="7431" max="7431" width="11.7109375" customWidth="1"/>
    <col min="7432" max="7432" width="12.7109375" bestFit="1" customWidth="1"/>
    <col min="7433" max="7433" width="8.7109375" bestFit="1" customWidth="1"/>
    <col min="7434" max="7434" width="11.7109375" bestFit="1" customWidth="1"/>
    <col min="7435" max="7435" width="2.42578125" customWidth="1"/>
    <col min="7436" max="7436" width="12.5703125" bestFit="1" customWidth="1"/>
    <col min="7683" max="7684" width="11.140625" customWidth="1"/>
    <col min="7685" max="7685" width="0" hidden="1" customWidth="1"/>
    <col min="7686" max="7686" width="12" bestFit="1" customWidth="1"/>
    <col min="7687" max="7687" width="11.7109375" customWidth="1"/>
    <col min="7688" max="7688" width="12.7109375" bestFit="1" customWidth="1"/>
    <col min="7689" max="7689" width="8.7109375" bestFit="1" customWidth="1"/>
    <col min="7690" max="7690" width="11.7109375" bestFit="1" customWidth="1"/>
    <col min="7691" max="7691" width="2.42578125" customWidth="1"/>
    <col min="7692" max="7692" width="12.5703125" bestFit="1" customWidth="1"/>
    <col min="7939" max="7940" width="11.140625" customWidth="1"/>
    <col min="7941" max="7941" width="0" hidden="1" customWidth="1"/>
    <col min="7942" max="7942" width="12" bestFit="1" customWidth="1"/>
    <col min="7943" max="7943" width="11.7109375" customWidth="1"/>
    <col min="7944" max="7944" width="12.7109375" bestFit="1" customWidth="1"/>
    <col min="7945" max="7945" width="8.7109375" bestFit="1" customWidth="1"/>
    <col min="7946" max="7946" width="11.7109375" bestFit="1" customWidth="1"/>
    <col min="7947" max="7947" width="2.42578125" customWidth="1"/>
    <col min="7948" max="7948" width="12.5703125" bestFit="1" customWidth="1"/>
    <col min="8195" max="8196" width="11.140625" customWidth="1"/>
    <col min="8197" max="8197" width="0" hidden="1" customWidth="1"/>
    <col min="8198" max="8198" width="12" bestFit="1" customWidth="1"/>
    <col min="8199" max="8199" width="11.7109375" customWidth="1"/>
    <col min="8200" max="8200" width="12.7109375" bestFit="1" customWidth="1"/>
    <col min="8201" max="8201" width="8.7109375" bestFit="1" customWidth="1"/>
    <col min="8202" max="8202" width="11.7109375" bestFit="1" customWidth="1"/>
    <col min="8203" max="8203" width="2.42578125" customWidth="1"/>
    <col min="8204" max="8204" width="12.5703125" bestFit="1" customWidth="1"/>
    <col min="8451" max="8452" width="11.140625" customWidth="1"/>
    <col min="8453" max="8453" width="0" hidden="1" customWidth="1"/>
    <col min="8454" max="8454" width="12" bestFit="1" customWidth="1"/>
    <col min="8455" max="8455" width="11.7109375" customWidth="1"/>
    <col min="8456" max="8456" width="12.7109375" bestFit="1" customWidth="1"/>
    <col min="8457" max="8457" width="8.7109375" bestFit="1" customWidth="1"/>
    <col min="8458" max="8458" width="11.7109375" bestFit="1" customWidth="1"/>
    <col min="8459" max="8459" width="2.42578125" customWidth="1"/>
    <col min="8460" max="8460" width="12.5703125" bestFit="1" customWidth="1"/>
    <col min="8707" max="8708" width="11.140625" customWidth="1"/>
    <col min="8709" max="8709" width="0" hidden="1" customWidth="1"/>
    <col min="8710" max="8710" width="12" bestFit="1" customWidth="1"/>
    <col min="8711" max="8711" width="11.7109375" customWidth="1"/>
    <col min="8712" max="8712" width="12.7109375" bestFit="1" customWidth="1"/>
    <col min="8713" max="8713" width="8.7109375" bestFit="1" customWidth="1"/>
    <col min="8714" max="8714" width="11.7109375" bestFit="1" customWidth="1"/>
    <col min="8715" max="8715" width="2.42578125" customWidth="1"/>
    <col min="8716" max="8716" width="12.5703125" bestFit="1" customWidth="1"/>
    <col min="8963" max="8964" width="11.140625" customWidth="1"/>
    <col min="8965" max="8965" width="0" hidden="1" customWidth="1"/>
    <col min="8966" max="8966" width="12" bestFit="1" customWidth="1"/>
    <col min="8967" max="8967" width="11.7109375" customWidth="1"/>
    <col min="8968" max="8968" width="12.7109375" bestFit="1" customWidth="1"/>
    <col min="8969" max="8969" width="8.7109375" bestFit="1" customWidth="1"/>
    <col min="8970" max="8970" width="11.7109375" bestFit="1" customWidth="1"/>
    <col min="8971" max="8971" width="2.42578125" customWidth="1"/>
    <col min="8972" max="8972" width="12.5703125" bestFit="1" customWidth="1"/>
    <col min="9219" max="9220" width="11.140625" customWidth="1"/>
    <col min="9221" max="9221" width="0" hidden="1" customWidth="1"/>
    <col min="9222" max="9222" width="12" bestFit="1" customWidth="1"/>
    <col min="9223" max="9223" width="11.7109375" customWidth="1"/>
    <col min="9224" max="9224" width="12.7109375" bestFit="1" customWidth="1"/>
    <col min="9225" max="9225" width="8.7109375" bestFit="1" customWidth="1"/>
    <col min="9226" max="9226" width="11.7109375" bestFit="1" customWidth="1"/>
    <col min="9227" max="9227" width="2.42578125" customWidth="1"/>
    <col min="9228" max="9228" width="12.5703125" bestFit="1" customWidth="1"/>
    <col min="9475" max="9476" width="11.140625" customWidth="1"/>
    <col min="9477" max="9477" width="0" hidden="1" customWidth="1"/>
    <col min="9478" max="9478" width="12" bestFit="1" customWidth="1"/>
    <col min="9479" max="9479" width="11.7109375" customWidth="1"/>
    <col min="9480" max="9480" width="12.7109375" bestFit="1" customWidth="1"/>
    <col min="9481" max="9481" width="8.7109375" bestFit="1" customWidth="1"/>
    <col min="9482" max="9482" width="11.7109375" bestFit="1" customWidth="1"/>
    <col min="9483" max="9483" width="2.42578125" customWidth="1"/>
    <col min="9484" max="9484" width="12.5703125" bestFit="1" customWidth="1"/>
    <col min="9731" max="9732" width="11.140625" customWidth="1"/>
    <col min="9733" max="9733" width="0" hidden="1" customWidth="1"/>
    <col min="9734" max="9734" width="12" bestFit="1" customWidth="1"/>
    <col min="9735" max="9735" width="11.7109375" customWidth="1"/>
    <col min="9736" max="9736" width="12.7109375" bestFit="1" customWidth="1"/>
    <col min="9737" max="9737" width="8.7109375" bestFit="1" customWidth="1"/>
    <col min="9738" max="9738" width="11.7109375" bestFit="1" customWidth="1"/>
    <col min="9739" max="9739" width="2.42578125" customWidth="1"/>
    <col min="9740" max="9740" width="12.5703125" bestFit="1" customWidth="1"/>
    <col min="9987" max="9988" width="11.140625" customWidth="1"/>
    <col min="9989" max="9989" width="0" hidden="1" customWidth="1"/>
    <col min="9990" max="9990" width="12" bestFit="1" customWidth="1"/>
    <col min="9991" max="9991" width="11.7109375" customWidth="1"/>
    <col min="9992" max="9992" width="12.7109375" bestFit="1" customWidth="1"/>
    <col min="9993" max="9993" width="8.7109375" bestFit="1" customWidth="1"/>
    <col min="9994" max="9994" width="11.7109375" bestFit="1" customWidth="1"/>
    <col min="9995" max="9995" width="2.42578125" customWidth="1"/>
    <col min="9996" max="9996" width="12.5703125" bestFit="1" customWidth="1"/>
    <col min="10243" max="10244" width="11.140625" customWidth="1"/>
    <col min="10245" max="10245" width="0" hidden="1" customWidth="1"/>
    <col min="10246" max="10246" width="12" bestFit="1" customWidth="1"/>
    <col min="10247" max="10247" width="11.7109375" customWidth="1"/>
    <col min="10248" max="10248" width="12.7109375" bestFit="1" customWidth="1"/>
    <col min="10249" max="10249" width="8.7109375" bestFit="1" customWidth="1"/>
    <col min="10250" max="10250" width="11.7109375" bestFit="1" customWidth="1"/>
    <col min="10251" max="10251" width="2.42578125" customWidth="1"/>
    <col min="10252" max="10252" width="12.5703125" bestFit="1" customWidth="1"/>
    <col min="10499" max="10500" width="11.140625" customWidth="1"/>
    <col min="10501" max="10501" width="0" hidden="1" customWidth="1"/>
    <col min="10502" max="10502" width="12" bestFit="1" customWidth="1"/>
    <col min="10503" max="10503" width="11.7109375" customWidth="1"/>
    <col min="10504" max="10504" width="12.7109375" bestFit="1" customWidth="1"/>
    <col min="10505" max="10505" width="8.7109375" bestFit="1" customWidth="1"/>
    <col min="10506" max="10506" width="11.7109375" bestFit="1" customWidth="1"/>
    <col min="10507" max="10507" width="2.42578125" customWidth="1"/>
    <col min="10508" max="10508" width="12.5703125" bestFit="1" customWidth="1"/>
    <col min="10755" max="10756" width="11.140625" customWidth="1"/>
    <col min="10757" max="10757" width="0" hidden="1" customWidth="1"/>
    <col min="10758" max="10758" width="12" bestFit="1" customWidth="1"/>
    <col min="10759" max="10759" width="11.7109375" customWidth="1"/>
    <col min="10760" max="10760" width="12.7109375" bestFit="1" customWidth="1"/>
    <col min="10761" max="10761" width="8.7109375" bestFit="1" customWidth="1"/>
    <col min="10762" max="10762" width="11.7109375" bestFit="1" customWidth="1"/>
    <col min="10763" max="10763" width="2.42578125" customWidth="1"/>
    <col min="10764" max="10764" width="12.5703125" bestFit="1" customWidth="1"/>
    <col min="11011" max="11012" width="11.140625" customWidth="1"/>
    <col min="11013" max="11013" width="0" hidden="1" customWidth="1"/>
    <col min="11014" max="11014" width="12" bestFit="1" customWidth="1"/>
    <col min="11015" max="11015" width="11.7109375" customWidth="1"/>
    <col min="11016" max="11016" width="12.7109375" bestFit="1" customWidth="1"/>
    <col min="11017" max="11017" width="8.7109375" bestFit="1" customWidth="1"/>
    <col min="11018" max="11018" width="11.7109375" bestFit="1" customWidth="1"/>
    <col min="11019" max="11019" width="2.42578125" customWidth="1"/>
    <col min="11020" max="11020" width="12.5703125" bestFit="1" customWidth="1"/>
    <col min="11267" max="11268" width="11.140625" customWidth="1"/>
    <col min="11269" max="11269" width="0" hidden="1" customWidth="1"/>
    <col min="11270" max="11270" width="12" bestFit="1" customWidth="1"/>
    <col min="11271" max="11271" width="11.7109375" customWidth="1"/>
    <col min="11272" max="11272" width="12.7109375" bestFit="1" customWidth="1"/>
    <col min="11273" max="11273" width="8.7109375" bestFit="1" customWidth="1"/>
    <col min="11274" max="11274" width="11.7109375" bestFit="1" customWidth="1"/>
    <col min="11275" max="11275" width="2.42578125" customWidth="1"/>
    <col min="11276" max="11276" width="12.5703125" bestFit="1" customWidth="1"/>
    <col min="11523" max="11524" width="11.140625" customWidth="1"/>
    <col min="11525" max="11525" width="0" hidden="1" customWidth="1"/>
    <col min="11526" max="11526" width="12" bestFit="1" customWidth="1"/>
    <col min="11527" max="11527" width="11.7109375" customWidth="1"/>
    <col min="11528" max="11528" width="12.7109375" bestFit="1" customWidth="1"/>
    <col min="11529" max="11529" width="8.7109375" bestFit="1" customWidth="1"/>
    <col min="11530" max="11530" width="11.7109375" bestFit="1" customWidth="1"/>
    <col min="11531" max="11531" width="2.42578125" customWidth="1"/>
    <col min="11532" max="11532" width="12.5703125" bestFit="1" customWidth="1"/>
    <col min="11779" max="11780" width="11.140625" customWidth="1"/>
    <col min="11781" max="11781" width="0" hidden="1" customWidth="1"/>
    <col min="11782" max="11782" width="12" bestFit="1" customWidth="1"/>
    <col min="11783" max="11783" width="11.7109375" customWidth="1"/>
    <col min="11784" max="11784" width="12.7109375" bestFit="1" customWidth="1"/>
    <col min="11785" max="11785" width="8.7109375" bestFit="1" customWidth="1"/>
    <col min="11786" max="11786" width="11.7109375" bestFit="1" customWidth="1"/>
    <col min="11787" max="11787" width="2.42578125" customWidth="1"/>
    <col min="11788" max="11788" width="12.5703125" bestFit="1" customWidth="1"/>
    <col min="12035" max="12036" width="11.140625" customWidth="1"/>
    <col min="12037" max="12037" width="0" hidden="1" customWidth="1"/>
    <col min="12038" max="12038" width="12" bestFit="1" customWidth="1"/>
    <col min="12039" max="12039" width="11.7109375" customWidth="1"/>
    <col min="12040" max="12040" width="12.7109375" bestFit="1" customWidth="1"/>
    <col min="12041" max="12041" width="8.7109375" bestFit="1" customWidth="1"/>
    <col min="12042" max="12042" width="11.7109375" bestFit="1" customWidth="1"/>
    <col min="12043" max="12043" width="2.42578125" customWidth="1"/>
    <col min="12044" max="12044" width="12.5703125" bestFit="1" customWidth="1"/>
    <col min="12291" max="12292" width="11.140625" customWidth="1"/>
    <col min="12293" max="12293" width="0" hidden="1" customWidth="1"/>
    <col min="12294" max="12294" width="12" bestFit="1" customWidth="1"/>
    <col min="12295" max="12295" width="11.7109375" customWidth="1"/>
    <col min="12296" max="12296" width="12.7109375" bestFit="1" customWidth="1"/>
    <col min="12297" max="12297" width="8.7109375" bestFit="1" customWidth="1"/>
    <col min="12298" max="12298" width="11.7109375" bestFit="1" customWidth="1"/>
    <col min="12299" max="12299" width="2.42578125" customWidth="1"/>
    <col min="12300" max="12300" width="12.5703125" bestFit="1" customWidth="1"/>
    <col min="12547" max="12548" width="11.140625" customWidth="1"/>
    <col min="12549" max="12549" width="0" hidden="1" customWidth="1"/>
    <col min="12550" max="12550" width="12" bestFit="1" customWidth="1"/>
    <col min="12551" max="12551" width="11.7109375" customWidth="1"/>
    <col min="12552" max="12552" width="12.7109375" bestFit="1" customWidth="1"/>
    <col min="12553" max="12553" width="8.7109375" bestFit="1" customWidth="1"/>
    <col min="12554" max="12554" width="11.7109375" bestFit="1" customWidth="1"/>
    <col min="12555" max="12555" width="2.42578125" customWidth="1"/>
    <col min="12556" max="12556" width="12.5703125" bestFit="1" customWidth="1"/>
    <col min="12803" max="12804" width="11.140625" customWidth="1"/>
    <col min="12805" max="12805" width="0" hidden="1" customWidth="1"/>
    <col min="12806" max="12806" width="12" bestFit="1" customWidth="1"/>
    <col min="12807" max="12807" width="11.7109375" customWidth="1"/>
    <col min="12808" max="12808" width="12.7109375" bestFit="1" customWidth="1"/>
    <col min="12809" max="12809" width="8.7109375" bestFit="1" customWidth="1"/>
    <col min="12810" max="12810" width="11.7109375" bestFit="1" customWidth="1"/>
    <col min="12811" max="12811" width="2.42578125" customWidth="1"/>
    <col min="12812" max="12812" width="12.5703125" bestFit="1" customWidth="1"/>
    <col min="13059" max="13060" width="11.140625" customWidth="1"/>
    <col min="13061" max="13061" width="0" hidden="1" customWidth="1"/>
    <col min="13062" max="13062" width="12" bestFit="1" customWidth="1"/>
    <col min="13063" max="13063" width="11.7109375" customWidth="1"/>
    <col min="13064" max="13064" width="12.7109375" bestFit="1" customWidth="1"/>
    <col min="13065" max="13065" width="8.7109375" bestFit="1" customWidth="1"/>
    <col min="13066" max="13066" width="11.7109375" bestFit="1" customWidth="1"/>
    <col min="13067" max="13067" width="2.42578125" customWidth="1"/>
    <col min="13068" max="13068" width="12.5703125" bestFit="1" customWidth="1"/>
    <col min="13315" max="13316" width="11.140625" customWidth="1"/>
    <col min="13317" max="13317" width="0" hidden="1" customWidth="1"/>
    <col min="13318" max="13318" width="12" bestFit="1" customWidth="1"/>
    <col min="13319" max="13319" width="11.7109375" customWidth="1"/>
    <col min="13320" max="13320" width="12.7109375" bestFit="1" customWidth="1"/>
    <col min="13321" max="13321" width="8.7109375" bestFit="1" customWidth="1"/>
    <col min="13322" max="13322" width="11.7109375" bestFit="1" customWidth="1"/>
    <col min="13323" max="13323" width="2.42578125" customWidth="1"/>
    <col min="13324" max="13324" width="12.5703125" bestFit="1" customWidth="1"/>
    <col min="13571" max="13572" width="11.140625" customWidth="1"/>
    <col min="13573" max="13573" width="0" hidden="1" customWidth="1"/>
    <col min="13574" max="13574" width="12" bestFit="1" customWidth="1"/>
    <col min="13575" max="13575" width="11.7109375" customWidth="1"/>
    <col min="13576" max="13576" width="12.7109375" bestFit="1" customWidth="1"/>
    <col min="13577" max="13577" width="8.7109375" bestFit="1" customWidth="1"/>
    <col min="13578" max="13578" width="11.7109375" bestFit="1" customWidth="1"/>
    <col min="13579" max="13579" width="2.42578125" customWidth="1"/>
    <col min="13580" max="13580" width="12.5703125" bestFit="1" customWidth="1"/>
    <col min="13827" max="13828" width="11.140625" customWidth="1"/>
    <col min="13829" max="13829" width="0" hidden="1" customWidth="1"/>
    <col min="13830" max="13830" width="12" bestFit="1" customWidth="1"/>
    <col min="13831" max="13831" width="11.7109375" customWidth="1"/>
    <col min="13832" max="13832" width="12.7109375" bestFit="1" customWidth="1"/>
    <col min="13833" max="13833" width="8.7109375" bestFit="1" customWidth="1"/>
    <col min="13834" max="13834" width="11.7109375" bestFit="1" customWidth="1"/>
    <col min="13835" max="13835" width="2.42578125" customWidth="1"/>
    <col min="13836" max="13836" width="12.5703125" bestFit="1" customWidth="1"/>
    <col min="14083" max="14084" width="11.140625" customWidth="1"/>
    <col min="14085" max="14085" width="0" hidden="1" customWidth="1"/>
    <col min="14086" max="14086" width="12" bestFit="1" customWidth="1"/>
    <col min="14087" max="14087" width="11.7109375" customWidth="1"/>
    <col min="14088" max="14088" width="12.7109375" bestFit="1" customWidth="1"/>
    <col min="14089" max="14089" width="8.7109375" bestFit="1" customWidth="1"/>
    <col min="14090" max="14090" width="11.7109375" bestFit="1" customWidth="1"/>
    <col min="14091" max="14091" width="2.42578125" customWidth="1"/>
    <col min="14092" max="14092" width="12.5703125" bestFit="1" customWidth="1"/>
    <col min="14339" max="14340" width="11.140625" customWidth="1"/>
    <col min="14341" max="14341" width="0" hidden="1" customWidth="1"/>
    <col min="14342" max="14342" width="12" bestFit="1" customWidth="1"/>
    <col min="14343" max="14343" width="11.7109375" customWidth="1"/>
    <col min="14344" max="14344" width="12.7109375" bestFit="1" customWidth="1"/>
    <col min="14345" max="14345" width="8.7109375" bestFit="1" customWidth="1"/>
    <col min="14346" max="14346" width="11.7109375" bestFit="1" customWidth="1"/>
    <col min="14347" max="14347" width="2.42578125" customWidth="1"/>
    <col min="14348" max="14348" width="12.5703125" bestFit="1" customWidth="1"/>
    <col min="14595" max="14596" width="11.140625" customWidth="1"/>
    <col min="14597" max="14597" width="0" hidden="1" customWidth="1"/>
    <col min="14598" max="14598" width="12" bestFit="1" customWidth="1"/>
    <col min="14599" max="14599" width="11.7109375" customWidth="1"/>
    <col min="14600" max="14600" width="12.7109375" bestFit="1" customWidth="1"/>
    <col min="14601" max="14601" width="8.7109375" bestFit="1" customWidth="1"/>
    <col min="14602" max="14602" width="11.7109375" bestFit="1" customWidth="1"/>
    <col min="14603" max="14603" width="2.42578125" customWidth="1"/>
    <col min="14604" max="14604" width="12.5703125" bestFit="1" customWidth="1"/>
    <col min="14851" max="14852" width="11.140625" customWidth="1"/>
    <col min="14853" max="14853" width="0" hidden="1" customWidth="1"/>
    <col min="14854" max="14854" width="12" bestFit="1" customWidth="1"/>
    <col min="14855" max="14855" width="11.7109375" customWidth="1"/>
    <col min="14856" max="14856" width="12.7109375" bestFit="1" customWidth="1"/>
    <col min="14857" max="14857" width="8.7109375" bestFit="1" customWidth="1"/>
    <col min="14858" max="14858" width="11.7109375" bestFit="1" customWidth="1"/>
    <col min="14859" max="14859" width="2.42578125" customWidth="1"/>
    <col min="14860" max="14860" width="12.5703125" bestFit="1" customWidth="1"/>
    <col min="15107" max="15108" width="11.140625" customWidth="1"/>
    <col min="15109" max="15109" width="0" hidden="1" customWidth="1"/>
    <col min="15110" max="15110" width="12" bestFit="1" customWidth="1"/>
    <col min="15111" max="15111" width="11.7109375" customWidth="1"/>
    <col min="15112" max="15112" width="12.7109375" bestFit="1" customWidth="1"/>
    <col min="15113" max="15113" width="8.7109375" bestFit="1" customWidth="1"/>
    <col min="15114" max="15114" width="11.7109375" bestFit="1" customWidth="1"/>
    <col min="15115" max="15115" width="2.42578125" customWidth="1"/>
    <col min="15116" max="15116" width="12.5703125" bestFit="1" customWidth="1"/>
    <col min="15363" max="15364" width="11.140625" customWidth="1"/>
    <col min="15365" max="15365" width="0" hidden="1" customWidth="1"/>
    <col min="15366" max="15366" width="12" bestFit="1" customWidth="1"/>
    <col min="15367" max="15367" width="11.7109375" customWidth="1"/>
    <col min="15368" max="15368" width="12.7109375" bestFit="1" customWidth="1"/>
    <col min="15369" max="15369" width="8.7109375" bestFit="1" customWidth="1"/>
    <col min="15370" max="15370" width="11.7109375" bestFit="1" customWidth="1"/>
    <col min="15371" max="15371" width="2.42578125" customWidth="1"/>
    <col min="15372" max="15372" width="12.5703125" bestFit="1" customWidth="1"/>
    <col min="15619" max="15620" width="11.140625" customWidth="1"/>
    <col min="15621" max="15621" width="0" hidden="1" customWidth="1"/>
    <col min="15622" max="15622" width="12" bestFit="1" customWidth="1"/>
    <col min="15623" max="15623" width="11.7109375" customWidth="1"/>
    <col min="15624" max="15624" width="12.7109375" bestFit="1" customWidth="1"/>
    <col min="15625" max="15625" width="8.7109375" bestFit="1" customWidth="1"/>
    <col min="15626" max="15626" width="11.7109375" bestFit="1" customWidth="1"/>
    <col min="15627" max="15627" width="2.42578125" customWidth="1"/>
    <col min="15628" max="15628" width="12.5703125" bestFit="1" customWidth="1"/>
    <col min="15875" max="15876" width="11.140625" customWidth="1"/>
    <col min="15877" max="15877" width="0" hidden="1" customWidth="1"/>
    <col min="15878" max="15878" width="12" bestFit="1" customWidth="1"/>
    <col min="15879" max="15879" width="11.7109375" customWidth="1"/>
    <col min="15880" max="15880" width="12.7109375" bestFit="1" customWidth="1"/>
    <col min="15881" max="15881" width="8.7109375" bestFit="1" customWidth="1"/>
    <col min="15882" max="15882" width="11.7109375" bestFit="1" customWidth="1"/>
    <col min="15883" max="15883" width="2.42578125" customWidth="1"/>
    <col min="15884" max="15884" width="12.5703125" bestFit="1" customWidth="1"/>
    <col min="16131" max="16132" width="11.140625" customWidth="1"/>
    <col min="16133" max="16133" width="0" hidden="1" customWidth="1"/>
    <col min="16134" max="16134" width="12" bestFit="1" customWidth="1"/>
    <col min="16135" max="16135" width="11.7109375" customWidth="1"/>
    <col min="16136" max="16136" width="12.7109375" bestFit="1" customWidth="1"/>
    <col min="16137" max="16137" width="8.7109375" bestFit="1" customWidth="1"/>
    <col min="16138" max="16138" width="11.7109375" bestFit="1" customWidth="1"/>
    <col min="16139" max="16139" width="2.42578125" customWidth="1"/>
    <col min="16140" max="16140" width="12.570312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  <c r="E4" t="s">
        <v>39</v>
      </c>
    </row>
    <row r="6" spans="1:11" ht="15.75" x14ac:dyDescent="0.25">
      <c r="A6" s="28" t="s">
        <v>58</v>
      </c>
      <c r="B6" s="28"/>
      <c r="C6" s="28"/>
      <c r="D6" s="28"/>
      <c r="E6" s="28"/>
      <c r="F6" s="28"/>
      <c r="G6" s="28"/>
    </row>
    <row r="7" spans="1:11" x14ac:dyDescent="0.25">
      <c r="D7" s="9"/>
      <c r="G7" t="s">
        <v>46</v>
      </c>
    </row>
    <row r="8" spans="1:11" x14ac:dyDescent="0.25">
      <c r="A8" t="s">
        <v>5</v>
      </c>
    </row>
    <row r="9" spans="1:11" x14ac:dyDescent="0.25">
      <c r="D9" s="2"/>
      <c r="E9" s="2"/>
      <c r="F9" s="27" t="s">
        <v>60</v>
      </c>
      <c r="G9" s="2">
        <v>45474</v>
      </c>
      <c r="I9" s="2">
        <v>45839</v>
      </c>
      <c r="J9" s="2"/>
      <c r="K9" s="2"/>
    </row>
    <row r="10" spans="1:11" x14ac:dyDescent="0.25">
      <c r="D10" s="2"/>
      <c r="E10" s="2"/>
      <c r="F10" s="2">
        <v>45473</v>
      </c>
      <c r="G10" s="2">
        <v>45838</v>
      </c>
      <c r="I10" s="2">
        <v>46203</v>
      </c>
      <c r="J10" s="2"/>
      <c r="K10" s="2"/>
    </row>
    <row r="11" spans="1:11" x14ac:dyDescent="0.25">
      <c r="A11" s="4" t="s">
        <v>6</v>
      </c>
    </row>
    <row r="12" spans="1:11" x14ac:dyDescent="0.25">
      <c r="A12" t="s">
        <v>7</v>
      </c>
      <c r="D12" s="5"/>
      <c r="E12" s="6"/>
      <c r="F12" s="5">
        <v>36.880000000000003</v>
      </c>
      <c r="G12" s="5">
        <v>37.880000000000003</v>
      </c>
      <c r="I12" s="5"/>
      <c r="K12" s="6"/>
    </row>
    <row r="13" spans="1:11" x14ac:dyDescent="0.25">
      <c r="A13" t="s">
        <v>8</v>
      </c>
      <c r="D13" s="5"/>
      <c r="E13" s="6"/>
      <c r="F13" s="5">
        <f>F12+(32.55*0.1)</f>
        <v>40.135000000000005</v>
      </c>
      <c r="G13" s="5">
        <f>G12+(37.88*0.1)</f>
        <v>41.668000000000006</v>
      </c>
      <c r="I13" s="5"/>
      <c r="J13" s="5"/>
      <c r="K13" s="6"/>
    </row>
    <row r="14" spans="1:11" x14ac:dyDescent="0.25">
      <c r="A14" t="s">
        <v>9</v>
      </c>
      <c r="D14" s="5"/>
      <c r="E14" s="6"/>
      <c r="F14" s="5">
        <f>F12+1</f>
        <v>37.880000000000003</v>
      </c>
      <c r="G14" s="5">
        <f>G12+1</f>
        <v>38.880000000000003</v>
      </c>
      <c r="I14" s="5"/>
      <c r="J14" s="5"/>
      <c r="K14" s="6"/>
    </row>
    <row r="15" spans="1:11" x14ac:dyDescent="0.25">
      <c r="A15" t="s">
        <v>10</v>
      </c>
      <c r="D15" s="5"/>
      <c r="E15" s="6"/>
      <c r="F15" s="5">
        <f>F12+1</f>
        <v>37.880000000000003</v>
      </c>
      <c r="G15" s="5">
        <f>G12+1</f>
        <v>38.880000000000003</v>
      </c>
      <c r="I15" s="5"/>
      <c r="J15" s="5"/>
      <c r="K15" s="6"/>
    </row>
    <row r="16" spans="1:11" x14ac:dyDescent="0.25">
      <c r="A16" t="s">
        <v>11</v>
      </c>
      <c r="D16" s="5"/>
      <c r="E16" s="6"/>
      <c r="F16" s="5">
        <f>F15+(F15*0.1)</f>
        <v>41.668000000000006</v>
      </c>
      <c r="G16" s="5">
        <f>G15+(G15*0.1)</f>
        <v>42.768000000000001</v>
      </c>
      <c r="I16" s="5"/>
      <c r="K16" s="6"/>
    </row>
    <row r="17" spans="1:12" x14ac:dyDescent="0.25">
      <c r="A17" t="s">
        <v>12</v>
      </c>
      <c r="D17" s="5"/>
      <c r="E17" s="6"/>
      <c r="F17" s="5">
        <f>F12+(32.55*0.1)+1</f>
        <v>41.135000000000005</v>
      </c>
      <c r="G17" s="5">
        <f>G12+(37.88*0.1)+1</f>
        <v>42.668000000000006</v>
      </c>
      <c r="I17" s="5"/>
      <c r="K17" s="6"/>
    </row>
    <row r="18" spans="1:12" x14ac:dyDescent="0.25">
      <c r="A18" t="s">
        <v>13</v>
      </c>
      <c r="D18" s="5"/>
      <c r="E18" s="6"/>
      <c r="F18" s="5">
        <f>32.55+1</f>
        <v>33.549999999999997</v>
      </c>
      <c r="G18" s="5">
        <f>37.88+1</f>
        <v>38.880000000000003</v>
      </c>
      <c r="I18" s="5"/>
      <c r="K18" s="6"/>
    </row>
    <row r="19" spans="1:12" x14ac:dyDescent="0.25">
      <c r="D19" s="5"/>
      <c r="E19" s="6"/>
      <c r="F19" s="5"/>
      <c r="G19" s="5"/>
      <c r="I19" s="5"/>
      <c r="K19" s="6"/>
    </row>
    <row r="20" spans="1:12" x14ac:dyDescent="0.25">
      <c r="A20" s="4" t="s">
        <v>14</v>
      </c>
      <c r="D20" s="5"/>
      <c r="E20" s="6"/>
      <c r="F20" s="5"/>
      <c r="G20" s="5"/>
      <c r="I20" s="5"/>
      <c r="K20" s="6"/>
    </row>
    <row r="21" spans="1:12" x14ac:dyDescent="0.25">
      <c r="A21" t="s">
        <v>15</v>
      </c>
      <c r="D21" s="5"/>
      <c r="E21" s="6"/>
      <c r="F21" s="5">
        <v>23.53</v>
      </c>
      <c r="G21" s="5">
        <v>19.440000000000001</v>
      </c>
      <c r="I21" s="5"/>
      <c r="J21" s="5"/>
      <c r="K21" s="6"/>
    </row>
    <row r="22" spans="1:12" x14ac:dyDescent="0.25">
      <c r="A22" t="s">
        <v>16</v>
      </c>
      <c r="D22" s="5"/>
      <c r="E22" s="6"/>
      <c r="F22" s="5">
        <f>6+0.5+0.75</f>
        <v>7.25</v>
      </c>
      <c r="G22" s="5">
        <f>6+0.5+0.75</f>
        <v>7.25</v>
      </c>
      <c r="I22" s="5"/>
      <c r="J22" s="5"/>
      <c r="K22" s="6"/>
    </row>
    <row r="23" spans="1:12" x14ac:dyDescent="0.25">
      <c r="D23" s="5"/>
      <c r="E23" s="6"/>
      <c r="F23" s="5"/>
      <c r="G23" s="5"/>
      <c r="I23" s="5"/>
      <c r="J23" s="6"/>
      <c r="K23" s="6"/>
    </row>
    <row r="24" spans="1:12" x14ac:dyDescent="0.25">
      <c r="A24" s="7" t="s">
        <v>17</v>
      </c>
      <c r="B24" t="s">
        <v>18</v>
      </c>
      <c r="E24" s="5"/>
      <c r="F24" s="5"/>
      <c r="G24" s="5"/>
      <c r="J24" s="5"/>
      <c r="L24" s="5"/>
    </row>
    <row r="25" spans="1:12" x14ac:dyDescent="0.25">
      <c r="A25" s="4" t="s">
        <v>19</v>
      </c>
      <c r="D25" s="5"/>
      <c r="E25" s="6"/>
      <c r="F25" s="5"/>
      <c r="G25" s="5"/>
      <c r="I25" s="5"/>
      <c r="K25" s="6"/>
    </row>
    <row r="26" spans="1:12" x14ac:dyDescent="0.25">
      <c r="A26" t="s">
        <v>20</v>
      </c>
      <c r="D26" s="20"/>
      <c r="E26" s="6"/>
      <c r="F26" s="20" t="s">
        <v>21</v>
      </c>
      <c r="G26" s="20"/>
      <c r="I26" s="20" t="s">
        <v>21</v>
      </c>
      <c r="K26" s="6"/>
      <c r="L26" s="5"/>
    </row>
    <row r="27" spans="1:12" x14ac:dyDescent="0.25">
      <c r="D27" s="9"/>
      <c r="E27" s="5"/>
      <c r="F27" s="9" t="s">
        <v>59</v>
      </c>
      <c r="G27" s="9"/>
      <c r="I27" s="9" t="s">
        <v>64</v>
      </c>
      <c r="L27" s="5">
        <f>I12+I21+I22</f>
        <v>0</v>
      </c>
    </row>
    <row r="28" spans="1:12" x14ac:dyDescent="0.25">
      <c r="D28" s="9"/>
      <c r="E28" s="5"/>
      <c r="F28" s="9"/>
      <c r="G28" s="9"/>
      <c r="I28" s="9"/>
    </row>
    <row r="29" spans="1:12" x14ac:dyDescent="0.25">
      <c r="A29" t="s">
        <v>50</v>
      </c>
      <c r="D29" s="5"/>
      <c r="E29" s="6"/>
      <c r="F29" s="5">
        <f>1.15+0.25+0.15+0.15</f>
        <v>1.6999999999999997</v>
      </c>
      <c r="G29" s="5"/>
      <c r="I29" s="5">
        <f>1.15+0.25+0.15+0.15</f>
        <v>1.6999999999999997</v>
      </c>
      <c r="K29" s="6"/>
    </row>
    <row r="30" spans="1:12" x14ac:dyDescent="0.25">
      <c r="A30" s="21" t="s">
        <v>23</v>
      </c>
      <c r="D30" s="5"/>
      <c r="E30" s="6"/>
      <c r="F30" s="5">
        <v>0.05</v>
      </c>
      <c r="G30" s="5"/>
      <c r="I30" s="5">
        <v>0.05</v>
      </c>
    </row>
    <row r="31" spans="1:12" x14ac:dyDescent="0.25">
      <c r="A31" s="9" t="s">
        <v>47</v>
      </c>
      <c r="B31" s="12"/>
      <c r="C31" s="12"/>
      <c r="D31" s="12"/>
      <c r="E31" s="12"/>
      <c r="F31" s="12"/>
    </row>
    <row r="32" spans="1:12" x14ac:dyDescent="0.25">
      <c r="A32" s="9"/>
      <c r="B32" s="12"/>
      <c r="C32" s="12"/>
      <c r="D32" s="12"/>
      <c r="E32" s="12"/>
      <c r="F32" s="12"/>
    </row>
    <row r="33" spans="1:13" x14ac:dyDescent="0.25">
      <c r="A33" s="12" t="s">
        <v>25</v>
      </c>
      <c r="B33" s="12"/>
      <c r="C33" s="12"/>
      <c r="D33" s="12"/>
      <c r="E33" s="12"/>
      <c r="F33" s="12"/>
      <c r="G33" s="12" t="s">
        <v>26</v>
      </c>
    </row>
    <row r="35" spans="1:13" x14ac:dyDescent="0.25">
      <c r="A35" s="13" t="s">
        <v>61</v>
      </c>
      <c r="B35" s="13"/>
      <c r="C35" s="13"/>
      <c r="D35" s="13"/>
      <c r="E35" s="13"/>
      <c r="F35" s="13"/>
    </row>
    <row r="36" spans="1:13" x14ac:dyDescent="0.25">
      <c r="C36" s="14"/>
      <c r="D36" s="14" t="s">
        <v>27</v>
      </c>
      <c r="E36" s="14" t="s">
        <v>27</v>
      </c>
      <c r="F36" s="14"/>
      <c r="G36" s="14"/>
      <c r="H36" s="14" t="s">
        <v>28</v>
      </c>
      <c r="I36" s="14"/>
      <c r="J36" s="14"/>
      <c r="L36" s="14"/>
    </row>
    <row r="37" spans="1:13" x14ac:dyDescent="0.25">
      <c r="C37" s="16" t="s">
        <v>29</v>
      </c>
      <c r="D37" s="16" t="s">
        <v>30</v>
      </c>
      <c r="E37" s="16" t="s">
        <v>30</v>
      </c>
      <c r="F37" s="16"/>
      <c r="G37" s="16" t="s">
        <v>16</v>
      </c>
      <c r="H37" s="16" t="s">
        <v>31</v>
      </c>
      <c r="I37" s="16"/>
      <c r="J37" s="16" t="s">
        <v>32</v>
      </c>
      <c r="L37" s="16"/>
    </row>
    <row r="38" spans="1:13" x14ac:dyDescent="0.25">
      <c r="C38" s="14"/>
      <c r="D38" s="14"/>
      <c r="E38" s="14"/>
      <c r="F38" s="14"/>
      <c r="G38" s="14"/>
      <c r="H38" s="14"/>
      <c r="I38" s="14"/>
      <c r="J38" s="14"/>
      <c r="L38" s="14"/>
    </row>
    <row r="39" spans="1:13" x14ac:dyDescent="0.25">
      <c r="A39" t="s">
        <v>33</v>
      </c>
      <c r="C39" s="5">
        <f>I12*0.5</f>
        <v>0</v>
      </c>
      <c r="D39" s="5">
        <f>24.53*0.5</f>
        <v>12.265000000000001</v>
      </c>
      <c r="E39" s="5">
        <v>0.1</v>
      </c>
      <c r="F39" s="5">
        <v>0</v>
      </c>
      <c r="G39" s="5">
        <v>0</v>
      </c>
      <c r="H39" s="5">
        <v>0</v>
      </c>
      <c r="I39" s="5"/>
      <c r="J39" s="5">
        <f>C39+D39+G39</f>
        <v>12.265000000000001</v>
      </c>
      <c r="K39" s="5">
        <f t="shared" ref="K39:K42" si="0">D39+E39+H39+I39+0.05</f>
        <v>12.415000000000001</v>
      </c>
      <c r="L39" s="18">
        <f>J39*0.01</f>
        <v>0.12265000000000001</v>
      </c>
      <c r="M39" s="18"/>
    </row>
    <row r="40" spans="1:13" x14ac:dyDescent="0.25">
      <c r="A40" t="s">
        <v>34</v>
      </c>
      <c r="C40" s="5">
        <f>I12*0.6</f>
        <v>0</v>
      </c>
      <c r="D40" s="5">
        <f>24.53*0.6</f>
        <v>14.718</v>
      </c>
      <c r="E40" s="5">
        <v>0.1</v>
      </c>
      <c r="F40" s="5">
        <v>0</v>
      </c>
      <c r="G40" s="5">
        <v>0</v>
      </c>
      <c r="H40" s="5">
        <v>0</v>
      </c>
      <c r="I40" s="5"/>
      <c r="J40" s="5">
        <f t="shared" ref="J40" si="1">C40+D40+G40</f>
        <v>14.718</v>
      </c>
      <c r="K40" s="5">
        <f t="shared" si="0"/>
        <v>14.868</v>
      </c>
      <c r="L40" s="18">
        <f t="shared" ref="L40:L42" si="2">J40*0.01</f>
        <v>0.14718000000000001</v>
      </c>
      <c r="M40" s="18"/>
    </row>
    <row r="41" spans="1:13" x14ac:dyDescent="0.25">
      <c r="A41" t="s">
        <v>35</v>
      </c>
      <c r="C41" s="5">
        <f>37.88*0.7</f>
        <v>26.516000000000002</v>
      </c>
      <c r="D41" s="5">
        <f>24.53*0.7</f>
        <v>17.170999999999999</v>
      </c>
      <c r="E41" s="5">
        <v>0.1</v>
      </c>
      <c r="F41" s="5">
        <v>0</v>
      </c>
      <c r="G41" s="5">
        <f>7.25*0.7</f>
        <v>5.0749999999999993</v>
      </c>
      <c r="H41" s="5">
        <f>1.7*0.7</f>
        <v>1.19</v>
      </c>
      <c r="I41" s="5"/>
      <c r="J41" s="5">
        <f>C41+D41+G41</f>
        <v>48.762</v>
      </c>
      <c r="K41" s="5">
        <f t="shared" si="0"/>
        <v>18.511000000000003</v>
      </c>
      <c r="L41" s="18">
        <f t="shared" si="2"/>
        <v>0.48762</v>
      </c>
      <c r="M41" s="18"/>
    </row>
    <row r="42" spans="1:13" x14ac:dyDescent="0.25">
      <c r="A42" t="s">
        <v>36</v>
      </c>
      <c r="C42" s="5">
        <f>37.88*0.8</f>
        <v>30.304000000000002</v>
      </c>
      <c r="D42" s="5">
        <f>24.53*0.8</f>
        <v>19.624000000000002</v>
      </c>
      <c r="E42" s="5">
        <v>0.1</v>
      </c>
      <c r="F42" s="5">
        <v>0</v>
      </c>
      <c r="G42" s="5">
        <f>7.25*0.8</f>
        <v>5.8000000000000007</v>
      </c>
      <c r="H42" s="5">
        <f>1.7*0.8</f>
        <v>1.36</v>
      </c>
      <c r="I42" s="5"/>
      <c r="J42" s="5">
        <f>C42+D42+G42</f>
        <v>55.728000000000009</v>
      </c>
      <c r="K42" s="5">
        <f t="shared" si="0"/>
        <v>21.134000000000004</v>
      </c>
      <c r="L42" s="18">
        <f t="shared" si="2"/>
        <v>0.55728000000000011</v>
      </c>
      <c r="M42" s="18"/>
    </row>
    <row r="43" spans="1:13" x14ac:dyDescent="0.25">
      <c r="C43" s="5"/>
      <c r="D43" s="5"/>
      <c r="E43" s="5"/>
      <c r="F43" s="5"/>
      <c r="G43" s="5"/>
      <c r="H43" s="5"/>
      <c r="I43" s="5"/>
      <c r="J43" s="5"/>
      <c r="K43" s="5"/>
      <c r="L43" s="18"/>
      <c r="M43" s="18"/>
    </row>
    <row r="44" spans="1:13" x14ac:dyDescent="0.25">
      <c r="C44" s="5"/>
      <c r="D44" s="5"/>
      <c r="E44" s="5"/>
      <c r="F44" s="5"/>
      <c r="G44" s="5"/>
      <c r="H44" s="5"/>
      <c r="I44" s="5"/>
      <c r="J44" s="5"/>
      <c r="K44" s="5"/>
      <c r="L44" s="18"/>
      <c r="M44" s="18"/>
    </row>
    <row r="45" spans="1:13" x14ac:dyDescent="0.25">
      <c r="L45" s="18"/>
      <c r="M45" s="19"/>
    </row>
    <row r="46" spans="1:13" x14ac:dyDescent="0.25">
      <c r="A46" s="13" t="s">
        <v>61</v>
      </c>
      <c r="B46" s="13"/>
      <c r="C46" s="13"/>
      <c r="D46" s="13"/>
      <c r="E46" s="13"/>
      <c r="F46" s="13"/>
    </row>
    <row r="47" spans="1:13" x14ac:dyDescent="0.25">
      <c r="C47" s="14"/>
      <c r="D47" s="14" t="s">
        <v>27</v>
      </c>
      <c r="E47" s="14" t="s">
        <v>27</v>
      </c>
      <c r="F47" s="14"/>
      <c r="G47" s="14"/>
      <c r="H47" s="14" t="s">
        <v>28</v>
      </c>
      <c r="I47" s="14"/>
      <c r="J47" s="14"/>
      <c r="L47" s="14"/>
    </row>
    <row r="48" spans="1:13" x14ac:dyDescent="0.25">
      <c r="C48" s="16" t="s">
        <v>29</v>
      </c>
      <c r="D48" s="16" t="s">
        <v>30</v>
      </c>
      <c r="E48" s="16" t="s">
        <v>30</v>
      </c>
      <c r="F48" s="16"/>
      <c r="G48" s="16" t="s">
        <v>16</v>
      </c>
      <c r="H48" s="16" t="s">
        <v>31</v>
      </c>
      <c r="I48" s="16"/>
      <c r="J48" s="16" t="s">
        <v>32</v>
      </c>
      <c r="L48" s="16"/>
    </row>
    <row r="49" spans="1:13" x14ac:dyDescent="0.25">
      <c r="C49" s="14"/>
      <c r="D49" s="14"/>
      <c r="E49" s="14"/>
      <c r="F49" s="14"/>
      <c r="G49" s="14"/>
      <c r="H49" s="14"/>
      <c r="I49" s="14"/>
      <c r="J49" s="14"/>
      <c r="L49" s="14"/>
    </row>
    <row r="50" spans="1:13" x14ac:dyDescent="0.25">
      <c r="A50" t="s">
        <v>33</v>
      </c>
      <c r="C50" s="5">
        <f>I23*0.6</f>
        <v>0</v>
      </c>
      <c r="D50" s="5">
        <f>8.01+0.35+0.5</f>
        <v>8.86</v>
      </c>
      <c r="E50" s="5">
        <v>0.1</v>
      </c>
      <c r="F50" s="5">
        <v>0.1</v>
      </c>
      <c r="G50" s="5">
        <v>0</v>
      </c>
      <c r="H50" s="5">
        <v>0</v>
      </c>
      <c r="I50" s="5"/>
      <c r="J50" s="5">
        <f>C50+D50+G50</f>
        <v>8.86</v>
      </c>
      <c r="K50" s="5">
        <f t="shared" ref="K50:K55" si="3">D50+E50+H50+I50+0.05</f>
        <v>9.01</v>
      </c>
      <c r="L50" s="18">
        <f>J50*0.01</f>
        <v>8.8599999999999998E-2</v>
      </c>
      <c r="M50" s="18"/>
    </row>
    <row r="51" spans="1:13" x14ac:dyDescent="0.25">
      <c r="A51" t="s">
        <v>34</v>
      </c>
      <c r="C51" s="5">
        <f>32.55*0.65</f>
        <v>21.157499999999999</v>
      </c>
      <c r="D51" s="5">
        <f>10.92+0.39+0.55</f>
        <v>11.860000000000001</v>
      </c>
      <c r="E51" s="5">
        <v>0.1</v>
      </c>
      <c r="F51" s="5">
        <v>0.1</v>
      </c>
      <c r="G51" s="5">
        <v>0</v>
      </c>
      <c r="H51" s="5">
        <v>0</v>
      </c>
      <c r="I51" s="5"/>
      <c r="J51" s="5">
        <f t="shared" ref="J51" si="4">C51+D51+G51</f>
        <v>33.017499999999998</v>
      </c>
      <c r="K51" s="5">
        <f t="shared" si="3"/>
        <v>12.010000000000002</v>
      </c>
      <c r="L51" s="18">
        <f t="shared" ref="L51:L55" si="5">J51*0.01</f>
        <v>0.330175</v>
      </c>
      <c r="M51" s="18"/>
    </row>
    <row r="52" spans="1:13" x14ac:dyDescent="0.25">
      <c r="A52" t="s">
        <v>35</v>
      </c>
      <c r="C52" s="5">
        <f>32.55*0.7</f>
        <v>22.784999999999997</v>
      </c>
      <c r="D52" s="5">
        <f>9.56+0.21+0.3</f>
        <v>10.070000000000002</v>
      </c>
      <c r="E52" s="5">
        <v>0.1</v>
      </c>
      <c r="F52" s="5">
        <v>0.1</v>
      </c>
      <c r="G52" s="5">
        <f>1.21+0.3</f>
        <v>1.51</v>
      </c>
      <c r="H52" s="5">
        <f>0.21+(0.21*0.025)</f>
        <v>0.21525</v>
      </c>
      <c r="I52" s="5"/>
      <c r="J52" s="5">
        <f>C52+D52+G52</f>
        <v>34.364999999999995</v>
      </c>
      <c r="K52" s="5">
        <f t="shared" si="3"/>
        <v>10.435250000000002</v>
      </c>
      <c r="L52" s="18">
        <f t="shared" si="5"/>
        <v>0.34364999999999996</v>
      </c>
      <c r="M52" s="18"/>
    </row>
    <row r="53" spans="1:13" x14ac:dyDescent="0.25">
      <c r="A53" t="s">
        <v>36</v>
      </c>
      <c r="C53" s="5">
        <f>32.55*0.75</f>
        <v>24.412499999999998</v>
      </c>
      <c r="D53" s="5">
        <f>11.61+0.23+0.33</f>
        <v>12.17</v>
      </c>
      <c r="E53" s="5">
        <v>0.1</v>
      </c>
      <c r="F53" s="5">
        <v>0.1</v>
      </c>
      <c r="G53" s="5">
        <f>2.23+0.33</f>
        <v>2.56</v>
      </c>
      <c r="H53" s="5">
        <f>0.31+(0.31*0.03)</f>
        <v>0.31929999999999997</v>
      </c>
      <c r="I53" s="5"/>
      <c r="J53" s="5">
        <f>C53+D53+G53</f>
        <v>39.142499999999998</v>
      </c>
      <c r="K53" s="5">
        <f t="shared" si="3"/>
        <v>12.6393</v>
      </c>
      <c r="L53" s="18">
        <f t="shared" si="5"/>
        <v>0.39142499999999997</v>
      </c>
      <c r="M53" s="18"/>
    </row>
    <row r="54" spans="1:13" x14ac:dyDescent="0.25">
      <c r="A54" t="s">
        <v>37</v>
      </c>
      <c r="C54" s="5">
        <f>32.55*0.8</f>
        <v>26.04</v>
      </c>
      <c r="D54" s="5">
        <f>12.55+0.26+0.38</f>
        <v>13.190000000000001</v>
      </c>
      <c r="E54" s="5">
        <v>0.15</v>
      </c>
      <c r="F54" s="5">
        <v>0.15</v>
      </c>
      <c r="G54" s="5">
        <f>3.26+0.38</f>
        <v>3.6399999999999997</v>
      </c>
      <c r="H54" s="5">
        <f>0.36+(0.36*0.035)</f>
        <v>0.37259999999999999</v>
      </c>
      <c r="I54" s="5"/>
      <c r="J54" s="5">
        <f>C54+D54+G54</f>
        <v>42.870000000000005</v>
      </c>
      <c r="K54" s="5">
        <f t="shared" si="3"/>
        <v>13.762600000000003</v>
      </c>
      <c r="L54" s="18">
        <f t="shared" si="5"/>
        <v>0.42870000000000008</v>
      </c>
      <c r="M54" s="18"/>
    </row>
    <row r="55" spans="1:13" x14ac:dyDescent="0.25">
      <c r="A55" t="s">
        <v>38</v>
      </c>
      <c r="C55" s="5">
        <f>32.55*0.85</f>
        <v>27.667499999999997</v>
      </c>
      <c r="D55" s="5">
        <f>14.64+0.3+0.43</f>
        <v>15.370000000000001</v>
      </c>
      <c r="E55" s="5">
        <v>0.15</v>
      </c>
      <c r="F55" s="5">
        <v>0.15</v>
      </c>
      <c r="G55" s="5">
        <f>4.3+0.43</f>
        <v>4.7299999999999995</v>
      </c>
      <c r="H55" s="5">
        <f>0.42+(0.42*0.04)</f>
        <v>0.43679999999999997</v>
      </c>
      <c r="I55" s="5"/>
      <c r="J55" s="5">
        <f>C55+D55+G55</f>
        <v>47.767499999999991</v>
      </c>
      <c r="K55" s="5">
        <f t="shared" si="3"/>
        <v>16.006800000000002</v>
      </c>
      <c r="L55" s="18">
        <f t="shared" si="5"/>
        <v>0.47767499999999991</v>
      </c>
      <c r="M55" s="18"/>
    </row>
    <row r="56" spans="1:13" x14ac:dyDescent="0.25">
      <c r="M56" s="19"/>
    </row>
    <row r="63" spans="1:13" x14ac:dyDescent="0.25">
      <c r="A63" s="21" t="s">
        <v>45</v>
      </c>
      <c r="E63" s="5"/>
      <c r="F63" s="5"/>
      <c r="G63" s="5"/>
    </row>
  </sheetData>
  <sheetProtection algorithmName="SHA-512" hashValue="fTCxFHKKgRSYfA3F+ZlZXtoOHTduoyxlM0JdfPC1g4iC0a5tB5qN9eC8AZPkKO8C36Nao2WtZREAFPrWhGIh9A==" saltValue="6M9U9YCW2G2GPUThGrfwoA==" spinCount="100000" sheet="1" objects="1" scenarios="1"/>
  <mergeCells count="1">
    <mergeCell ref="A6:G6"/>
  </mergeCells>
  <pageMargins left="0.45" right="0.45" top="0.75" bottom="0.25" header="0.3" footer="0.3"/>
  <pageSetup scale="8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NIAG_2025-2026</vt:lpstr>
      <vt:lpstr>WNY_2025-2026</vt:lpstr>
      <vt:lpstr>NIAG Ind_2025-2026</vt:lpstr>
      <vt:lpstr>WNY Ind_2025-2026</vt:lpstr>
      <vt:lpstr>Monroe Ind_2025-2026</vt:lpstr>
      <vt:lpstr>'Monroe Ind_2025-2026'!Print_Area</vt:lpstr>
      <vt:lpstr>'NIAG_2025-2026'!Print_Area</vt:lpstr>
      <vt:lpstr>'WNY Ind_2025-2026'!Print_Area</vt:lpstr>
      <vt:lpstr>'WNY_2025-2026'!Print_Area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Plasterers Local</cp:lastModifiedBy>
  <cp:lastPrinted>2023-07-11T13:22:39Z</cp:lastPrinted>
  <dcterms:created xsi:type="dcterms:W3CDTF">2020-06-11T13:14:56Z</dcterms:created>
  <dcterms:modified xsi:type="dcterms:W3CDTF">2025-06-15T23:57:26Z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2023-03-14T14:20:02Z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361a9bb2-6331-4f5f-ad36-ebc93459dba0</vt:lpwstr>
  </property>
  <property fmtid="{D5CDD505-2E9C-101B-9397-08002B2CF9AE}" pid="7" name="MSIP_Label_defa4170-0d19-0005-0004-bc88714345d2_ActionId">
    <vt:lpwstr>d673c339-54e1-4311-b19a-1654681bffd9</vt:lpwstr>
  </property>
  <property fmtid="{D5CDD505-2E9C-101B-9397-08002B2CF9AE}" pid="8" name="MSIP_Label_defa4170-0d19-0005-0004-bc88714345d2_ContentBits">
    <vt:lpwstr>0</vt:lpwstr>
  </property>
</Properties>
</file>